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2.xml" ContentType="application/vnd.openxmlformats-officedocument.spreadsheetml.comments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730" windowHeight="11700" tabRatio="764" activeTab="1"/>
  </bookViews>
  <sheets>
    <sheet name="Electricity" sheetId="1" r:id="rId1"/>
    <sheet name="Electricity Pivot" sheetId="8" r:id="rId2"/>
    <sheet name="Water" sheetId="2" r:id="rId3"/>
    <sheet name="Water Pivot" sheetId="9" r:id="rId4"/>
    <sheet name="Sanitation" sheetId="5" r:id="rId5"/>
    <sheet name="Sanitation Pivot" sheetId="10" r:id="rId6"/>
    <sheet name="ICT" sheetId="6" r:id="rId7"/>
    <sheet name="ICT Pivot" sheetId="11" r:id="rId8"/>
    <sheet name="Roads" sheetId="7" r:id="rId9"/>
    <sheet name="Roads Pivot" sheetId="12" r:id="rId10"/>
    <sheet name="Costs Summary" sheetId="13" r:id="rId11"/>
    <sheet name="Rents" sheetId="14" r:id="rId12"/>
    <sheet name="Costs vs. Rents" sheetId="15" r:id="rId13"/>
  </sheets>
  <definedNames>
    <definedName name="_xlnm._FilterDatabase" localSheetId="0" hidden="1">Electricity!$A$2:$U$216</definedName>
    <definedName name="_xlnm._FilterDatabase" localSheetId="6" hidden="1">ICT!$A$2:$S$216</definedName>
    <definedName name="_xlnm._FilterDatabase" localSheetId="8" hidden="1">Roads!$A$2:$R$216</definedName>
    <definedName name="_xlnm._FilterDatabase" localSheetId="4" hidden="1">Sanitation!$A$2:$W$216</definedName>
    <definedName name="_xlnm._FilterDatabase" localSheetId="2" hidden="1">Water!$A$2:$W$216</definedName>
  </definedNames>
  <calcPr calcId="145621"/>
  <pivotCaches>
    <pivotCache cacheId="129" r:id="rId14"/>
    <pivotCache cacheId="132" r:id="rId15"/>
    <pivotCache cacheId="135" r:id="rId16"/>
    <pivotCache cacheId="138" r:id="rId17"/>
    <pivotCache cacheId="141" r:id="rId18"/>
    <pivotCache cacheId="144" r:id="rId19"/>
  </pivotCaches>
</workbook>
</file>

<file path=xl/calcChain.xml><?xml version="1.0" encoding="utf-8"?>
<calcChain xmlns="http://schemas.openxmlformats.org/spreadsheetml/2006/main"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3" i="7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3" i="6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3" i="5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3" i="2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3" i="1"/>
  <c r="O4" i="1"/>
  <c r="O7" i="1"/>
  <c r="O4" i="7" l="1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L215" i="7" l="1"/>
  <c r="P215" i="7" s="1"/>
  <c r="L211" i="7"/>
  <c r="P211" i="7" s="1"/>
  <c r="L207" i="7"/>
  <c r="R207" i="7" s="1"/>
  <c r="L203" i="7"/>
  <c r="P203" i="7" s="1"/>
  <c r="L175" i="7"/>
  <c r="Q175" i="7" s="1"/>
  <c r="L171" i="7"/>
  <c r="Q171" i="7" s="1"/>
  <c r="L163" i="7"/>
  <c r="R163" i="7" s="1"/>
  <c r="L103" i="7"/>
  <c r="Q103" i="7" s="1"/>
  <c r="L79" i="7"/>
  <c r="P79" i="7" s="1"/>
  <c r="L7" i="7"/>
  <c r="P7" i="7" s="1"/>
  <c r="L213" i="7"/>
  <c r="Q213" i="7" s="1"/>
  <c r="L189" i="7"/>
  <c r="R189" i="7" s="1"/>
  <c r="L145" i="7"/>
  <c r="P145" i="7" s="1"/>
  <c r="L113" i="7"/>
  <c r="P113" i="7" s="1"/>
  <c r="L77" i="7"/>
  <c r="P77" i="7" s="1"/>
  <c r="L41" i="7"/>
  <c r="Q41" i="7" s="1"/>
  <c r="R215" i="7"/>
  <c r="R175" i="7"/>
  <c r="P175" i="7"/>
  <c r="P163" i="7"/>
  <c r="Q7" i="7"/>
  <c r="R211" i="7"/>
  <c r="Q79" i="7"/>
  <c r="Q215" i="7"/>
  <c r="Q189" i="7"/>
  <c r="R145" i="7"/>
  <c r="L182" i="7"/>
  <c r="L114" i="7"/>
  <c r="L94" i="7"/>
  <c r="L70" i="7"/>
  <c r="L66" i="7"/>
  <c r="L38" i="7"/>
  <c r="L6" i="7"/>
  <c r="L58" i="7"/>
  <c r="L82" i="7"/>
  <c r="L74" i="7"/>
  <c r="L50" i="7"/>
  <c r="L42" i="7"/>
  <c r="L34" i="7"/>
  <c r="L26" i="7"/>
  <c r="L18" i="7"/>
  <c r="L10" i="7"/>
  <c r="L216" i="7"/>
  <c r="L212" i="7"/>
  <c r="L208" i="7"/>
  <c r="L204" i="7"/>
  <c r="L200" i="7"/>
  <c r="L196" i="7"/>
  <c r="L192" i="7"/>
  <c r="L188" i="7"/>
  <c r="L184" i="7"/>
  <c r="L180" i="7"/>
  <c r="L176" i="7"/>
  <c r="L172" i="7"/>
  <c r="L168" i="7"/>
  <c r="L164" i="7"/>
  <c r="L160" i="7"/>
  <c r="L156" i="7"/>
  <c r="L152" i="7"/>
  <c r="L148" i="7"/>
  <c r="L144" i="7"/>
  <c r="L140" i="7"/>
  <c r="L136" i="7"/>
  <c r="L132" i="7"/>
  <c r="L128" i="7"/>
  <c r="L124" i="7"/>
  <c r="L120" i="7"/>
  <c r="L116" i="7"/>
  <c r="L112" i="7"/>
  <c r="L108" i="7"/>
  <c r="L104" i="7"/>
  <c r="L100" i="7"/>
  <c r="L96" i="7"/>
  <c r="L92" i="7"/>
  <c r="L88" i="7"/>
  <c r="L84" i="7"/>
  <c r="L80" i="7"/>
  <c r="L76" i="7"/>
  <c r="L72" i="7"/>
  <c r="L68" i="7"/>
  <c r="L64" i="7"/>
  <c r="L60" i="7"/>
  <c r="L56" i="7"/>
  <c r="L52" i="7"/>
  <c r="L48" i="7"/>
  <c r="L44" i="7"/>
  <c r="L40" i="7"/>
  <c r="L36" i="7"/>
  <c r="L32" i="7"/>
  <c r="L28" i="7"/>
  <c r="L24" i="7"/>
  <c r="L20" i="7"/>
  <c r="L16" i="7"/>
  <c r="L12" i="7"/>
  <c r="L8" i="7"/>
  <c r="L4" i="7"/>
  <c r="L209" i="7"/>
  <c r="L205" i="7"/>
  <c r="L199" i="7"/>
  <c r="L195" i="7"/>
  <c r="L191" i="7"/>
  <c r="L187" i="7"/>
  <c r="L183" i="7"/>
  <c r="L179" i="7"/>
  <c r="L167" i="7"/>
  <c r="L159" i="7"/>
  <c r="L155" i="7"/>
  <c r="L151" i="7"/>
  <c r="L147" i="7"/>
  <c r="L143" i="7"/>
  <c r="L139" i="7"/>
  <c r="L135" i="7"/>
  <c r="L131" i="7"/>
  <c r="L127" i="7"/>
  <c r="L123" i="7"/>
  <c r="L119" i="7"/>
  <c r="L115" i="7"/>
  <c r="L111" i="7"/>
  <c r="L107" i="7"/>
  <c r="L99" i="7"/>
  <c r="L95" i="7"/>
  <c r="L91" i="7"/>
  <c r="L87" i="7"/>
  <c r="L83" i="7"/>
  <c r="L75" i="7"/>
  <c r="L71" i="7"/>
  <c r="L67" i="7"/>
  <c r="L63" i="7"/>
  <c r="L59" i="7"/>
  <c r="L55" i="7"/>
  <c r="L51" i="7"/>
  <c r="L47" i="7"/>
  <c r="L43" i="7"/>
  <c r="L39" i="7"/>
  <c r="L35" i="7"/>
  <c r="L31" i="7"/>
  <c r="L27" i="7"/>
  <c r="L23" i="7"/>
  <c r="L19" i="7"/>
  <c r="L15" i="7"/>
  <c r="L11" i="7"/>
  <c r="L201" i="7"/>
  <c r="L197" i="7"/>
  <c r="L193" i="7"/>
  <c r="L185" i="7"/>
  <c r="L181" i="7"/>
  <c r="L177" i="7"/>
  <c r="L173" i="7"/>
  <c r="L169" i="7"/>
  <c r="L165" i="7"/>
  <c r="L161" i="7"/>
  <c r="L157" i="7"/>
  <c r="L153" i="7"/>
  <c r="L149" i="7"/>
  <c r="L141" i="7"/>
  <c r="L137" i="7"/>
  <c r="L133" i="7"/>
  <c r="L129" i="7"/>
  <c r="L125" i="7"/>
  <c r="L121" i="7"/>
  <c r="L117" i="7"/>
  <c r="L109" i="7"/>
  <c r="L105" i="7"/>
  <c r="L101" i="7"/>
  <c r="L97" i="7"/>
  <c r="L93" i="7"/>
  <c r="L89" i="7"/>
  <c r="L85" i="7"/>
  <c r="L81" i="7"/>
  <c r="L73" i="7"/>
  <c r="L69" i="7"/>
  <c r="L65" i="7"/>
  <c r="L61" i="7"/>
  <c r="L57" i="7"/>
  <c r="L53" i="7"/>
  <c r="L49" i="7"/>
  <c r="L45" i="7"/>
  <c r="L37" i="7"/>
  <c r="L33" i="7"/>
  <c r="L29" i="7"/>
  <c r="L25" i="7"/>
  <c r="L21" i="7"/>
  <c r="L17" i="7"/>
  <c r="L13" i="7"/>
  <c r="L9" i="7"/>
  <c r="L5" i="7"/>
  <c r="L214" i="7"/>
  <c r="L210" i="7"/>
  <c r="L206" i="7"/>
  <c r="L202" i="7"/>
  <c r="L198" i="7"/>
  <c r="L194" i="7"/>
  <c r="L190" i="7"/>
  <c r="L186" i="7"/>
  <c r="L178" i="7"/>
  <c r="L174" i="7"/>
  <c r="L170" i="7"/>
  <c r="L166" i="7"/>
  <c r="L162" i="7"/>
  <c r="L158" i="7"/>
  <c r="L154" i="7"/>
  <c r="L150" i="7"/>
  <c r="L146" i="7"/>
  <c r="L142" i="7"/>
  <c r="L138" i="7"/>
  <c r="L134" i="7"/>
  <c r="L130" i="7"/>
  <c r="L126" i="7"/>
  <c r="L122" i="7"/>
  <c r="L118" i="7"/>
  <c r="L110" i="7"/>
  <c r="L106" i="7"/>
  <c r="L102" i="7"/>
  <c r="L98" i="7"/>
  <c r="L90" i="7"/>
  <c r="L86" i="7"/>
  <c r="L78" i="7"/>
  <c r="L62" i="7"/>
  <c r="L54" i="7"/>
  <c r="L46" i="7"/>
  <c r="L30" i="7"/>
  <c r="L22" i="7"/>
  <c r="L14" i="7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M19" i="6"/>
  <c r="M195" i="6"/>
  <c r="H4" i="6"/>
  <c r="M4" i="6" s="1"/>
  <c r="H6" i="6"/>
  <c r="M6" i="6" s="1"/>
  <c r="H7" i="6"/>
  <c r="M7" i="6" s="1"/>
  <c r="H13" i="6"/>
  <c r="M13" i="6" s="1"/>
  <c r="H16" i="6"/>
  <c r="M16" i="6" s="1"/>
  <c r="H19" i="6"/>
  <c r="H30" i="6"/>
  <c r="M30" i="6" s="1"/>
  <c r="H39" i="6"/>
  <c r="M39" i="6" s="1"/>
  <c r="H41" i="6"/>
  <c r="M41" i="6" s="1"/>
  <c r="H43" i="6"/>
  <c r="M43" i="6" s="1"/>
  <c r="H52" i="6"/>
  <c r="M52" i="6" s="1"/>
  <c r="H57" i="6"/>
  <c r="M57" i="6" s="1"/>
  <c r="H62" i="6"/>
  <c r="M62" i="6" s="1"/>
  <c r="H66" i="6"/>
  <c r="M66" i="6" s="1"/>
  <c r="H67" i="6"/>
  <c r="M67" i="6" s="1"/>
  <c r="H70" i="6"/>
  <c r="M70" i="6" s="1"/>
  <c r="H77" i="6"/>
  <c r="M77" i="6" s="1"/>
  <c r="H79" i="6"/>
  <c r="M79" i="6" s="1"/>
  <c r="H82" i="6"/>
  <c r="M82" i="6" s="1"/>
  <c r="H86" i="6"/>
  <c r="M86" i="6" s="1"/>
  <c r="H94" i="6"/>
  <c r="M94" i="6" s="1"/>
  <c r="H103" i="6"/>
  <c r="M103" i="6" s="1"/>
  <c r="H105" i="6"/>
  <c r="M105" i="6" s="1"/>
  <c r="H108" i="6"/>
  <c r="M108" i="6" s="1"/>
  <c r="H111" i="6"/>
  <c r="M111" i="6" s="1"/>
  <c r="H113" i="6"/>
  <c r="M113" i="6" s="1"/>
  <c r="H114" i="6"/>
  <c r="M114" i="6" s="1"/>
  <c r="H125" i="6"/>
  <c r="M125" i="6" s="1"/>
  <c r="H129" i="6"/>
  <c r="M129" i="6" s="1"/>
  <c r="H148" i="6"/>
  <c r="M148" i="6" s="1"/>
  <c r="H151" i="6"/>
  <c r="M151" i="6" s="1"/>
  <c r="H162" i="6"/>
  <c r="M162" i="6" s="1"/>
  <c r="H163" i="6"/>
  <c r="M163" i="6" s="1"/>
  <c r="H164" i="6"/>
  <c r="M164" i="6" s="1"/>
  <c r="H171" i="6"/>
  <c r="M171" i="6" s="1"/>
  <c r="H174" i="6"/>
  <c r="M174" i="6" s="1"/>
  <c r="H175" i="6"/>
  <c r="M175" i="6" s="1"/>
  <c r="H177" i="6"/>
  <c r="M177" i="6" s="1"/>
  <c r="H179" i="6"/>
  <c r="M179" i="6" s="1"/>
  <c r="H180" i="6"/>
  <c r="M180" i="6" s="1"/>
  <c r="H182" i="6"/>
  <c r="M182" i="6" s="1"/>
  <c r="H183" i="6"/>
  <c r="M183" i="6" s="1"/>
  <c r="H184" i="6"/>
  <c r="M184" i="6" s="1"/>
  <c r="H189" i="6"/>
  <c r="M189" i="6" s="1"/>
  <c r="H190" i="6"/>
  <c r="M190" i="6" s="1"/>
  <c r="H193" i="6"/>
  <c r="M193" i="6" s="1"/>
  <c r="H195" i="6"/>
  <c r="H196" i="6"/>
  <c r="M196" i="6" s="1"/>
  <c r="H200" i="6"/>
  <c r="M200" i="6" s="1"/>
  <c r="H206" i="6"/>
  <c r="M206" i="6" s="1"/>
  <c r="H208" i="6"/>
  <c r="M208" i="6" s="1"/>
  <c r="H212" i="6"/>
  <c r="M212" i="6" s="1"/>
  <c r="H214" i="6"/>
  <c r="M214" i="6" s="1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R171" i="7" l="1"/>
  <c r="Q211" i="7"/>
  <c r="R7" i="7"/>
  <c r="R79" i="7"/>
  <c r="Q203" i="7"/>
  <c r="R103" i="7"/>
  <c r="P171" i="7"/>
  <c r="R203" i="7"/>
  <c r="Q77" i="7"/>
  <c r="R113" i="7"/>
  <c r="Q207" i="7"/>
  <c r="P103" i="7"/>
  <c r="Q163" i="7"/>
  <c r="P207" i="7"/>
  <c r="P189" i="7"/>
  <c r="P41" i="7"/>
  <c r="R41" i="7"/>
  <c r="R77" i="7"/>
  <c r="P213" i="7"/>
  <c r="Q113" i="7"/>
  <c r="R213" i="7"/>
  <c r="Q145" i="7"/>
  <c r="R46" i="7"/>
  <c r="Q46" i="7"/>
  <c r="P46" i="7"/>
  <c r="Q106" i="7"/>
  <c r="R106" i="7"/>
  <c r="P106" i="7"/>
  <c r="R174" i="7"/>
  <c r="P174" i="7"/>
  <c r="Q174" i="7"/>
  <c r="R13" i="7"/>
  <c r="Q13" i="7"/>
  <c r="P13" i="7"/>
  <c r="R49" i="7"/>
  <c r="Q49" i="7"/>
  <c r="P49" i="7"/>
  <c r="R85" i="7"/>
  <c r="Q85" i="7"/>
  <c r="P85" i="7"/>
  <c r="R121" i="7"/>
  <c r="Q121" i="7"/>
  <c r="P121" i="7"/>
  <c r="R137" i="7"/>
  <c r="Q137" i="7"/>
  <c r="P137" i="7"/>
  <c r="R173" i="7"/>
  <c r="Q173" i="7"/>
  <c r="P173" i="7"/>
  <c r="Q15" i="7"/>
  <c r="R15" i="7"/>
  <c r="P15" i="7"/>
  <c r="Q63" i="7"/>
  <c r="R63" i="7"/>
  <c r="P63" i="7"/>
  <c r="P83" i="7"/>
  <c r="R83" i="7"/>
  <c r="Q83" i="7"/>
  <c r="R119" i="7"/>
  <c r="Q119" i="7"/>
  <c r="P119" i="7"/>
  <c r="Q135" i="7"/>
  <c r="R135" i="7"/>
  <c r="P135" i="7"/>
  <c r="R179" i="7"/>
  <c r="Q179" i="7"/>
  <c r="P179" i="7"/>
  <c r="R195" i="7"/>
  <c r="Q195" i="7"/>
  <c r="P195" i="7"/>
  <c r="R20" i="7"/>
  <c r="Q20" i="7"/>
  <c r="P20" i="7"/>
  <c r="R68" i="7"/>
  <c r="Q68" i="7"/>
  <c r="P68" i="7"/>
  <c r="R100" i="7"/>
  <c r="Q100" i="7"/>
  <c r="P100" i="7"/>
  <c r="Q116" i="7"/>
  <c r="R116" i="7"/>
  <c r="P116" i="7"/>
  <c r="R148" i="7"/>
  <c r="Q148" i="7"/>
  <c r="P148" i="7"/>
  <c r="R180" i="7"/>
  <c r="Q180" i="7"/>
  <c r="P180" i="7"/>
  <c r="Q74" i="7"/>
  <c r="R74" i="7"/>
  <c r="P74" i="7"/>
  <c r="R70" i="7"/>
  <c r="Q70" i="7"/>
  <c r="P70" i="7"/>
  <c r="R54" i="7"/>
  <c r="Q54" i="7"/>
  <c r="P54" i="7"/>
  <c r="Q146" i="7"/>
  <c r="R146" i="7"/>
  <c r="P146" i="7"/>
  <c r="Q178" i="7"/>
  <c r="R178" i="7"/>
  <c r="P178" i="7"/>
  <c r="R198" i="7"/>
  <c r="P198" i="7"/>
  <c r="Q198" i="7"/>
  <c r="R17" i="7"/>
  <c r="Q17" i="7"/>
  <c r="P17" i="7"/>
  <c r="R69" i="7"/>
  <c r="Q69" i="7"/>
  <c r="P69" i="7"/>
  <c r="R89" i="7"/>
  <c r="Q89" i="7"/>
  <c r="P89" i="7"/>
  <c r="R105" i="7"/>
  <c r="P105" i="7"/>
  <c r="Q105" i="7"/>
  <c r="R141" i="7"/>
  <c r="Q141" i="7"/>
  <c r="P141" i="7"/>
  <c r="R177" i="7"/>
  <c r="Q177" i="7"/>
  <c r="P177" i="7"/>
  <c r="P19" i="7"/>
  <c r="R19" i="7"/>
  <c r="Q19" i="7"/>
  <c r="Q67" i="7"/>
  <c r="P67" i="7"/>
  <c r="R67" i="7"/>
  <c r="R87" i="7"/>
  <c r="Q87" i="7"/>
  <c r="P87" i="7"/>
  <c r="R123" i="7"/>
  <c r="Q123" i="7"/>
  <c r="P123" i="7"/>
  <c r="R155" i="7"/>
  <c r="Q155" i="7"/>
  <c r="P155" i="7"/>
  <c r="P199" i="7"/>
  <c r="R199" i="7"/>
  <c r="Q199" i="7"/>
  <c r="R8" i="7"/>
  <c r="Q8" i="7"/>
  <c r="P8" i="7"/>
  <c r="R40" i="7"/>
  <c r="Q40" i="7"/>
  <c r="P40" i="7"/>
  <c r="R56" i="7"/>
  <c r="Q56" i="7"/>
  <c r="P56" i="7"/>
  <c r="R72" i="7"/>
  <c r="Q72" i="7"/>
  <c r="P72" i="7"/>
  <c r="R104" i="7"/>
  <c r="Q104" i="7"/>
  <c r="P104" i="7"/>
  <c r="Q152" i="7"/>
  <c r="P152" i="7"/>
  <c r="R152" i="7"/>
  <c r="Q184" i="7"/>
  <c r="P184" i="7"/>
  <c r="R184" i="7"/>
  <c r="Q200" i="7"/>
  <c r="P200" i="7"/>
  <c r="R200" i="7"/>
  <c r="Q34" i="7"/>
  <c r="R34" i="7"/>
  <c r="P34" i="7"/>
  <c r="P82" i="7"/>
  <c r="R82" i="7"/>
  <c r="Q82" i="7"/>
  <c r="R6" i="7"/>
  <c r="Q6" i="7"/>
  <c r="P6" i="7"/>
  <c r="R94" i="7"/>
  <c r="Q94" i="7"/>
  <c r="P94" i="7"/>
  <c r="R22" i="7"/>
  <c r="Q22" i="7"/>
  <c r="P22" i="7"/>
  <c r="R62" i="7"/>
  <c r="Q62" i="7"/>
  <c r="P62" i="7"/>
  <c r="Q98" i="7"/>
  <c r="P98" i="7"/>
  <c r="R98" i="7"/>
  <c r="R118" i="7"/>
  <c r="Q118" i="7"/>
  <c r="P118" i="7"/>
  <c r="R134" i="7"/>
  <c r="Q134" i="7"/>
  <c r="P134" i="7"/>
  <c r="R150" i="7"/>
  <c r="Q150" i="7"/>
  <c r="P150" i="7"/>
  <c r="R166" i="7"/>
  <c r="Q166" i="7"/>
  <c r="P166" i="7"/>
  <c r="R186" i="7"/>
  <c r="Q186" i="7"/>
  <c r="P186" i="7"/>
  <c r="R202" i="7"/>
  <c r="Q202" i="7"/>
  <c r="P202" i="7"/>
  <c r="R5" i="7"/>
  <c r="Q5" i="7"/>
  <c r="P5" i="7"/>
  <c r="R21" i="7"/>
  <c r="Q21" i="7"/>
  <c r="P21" i="7"/>
  <c r="R37" i="7"/>
  <c r="Q37" i="7"/>
  <c r="P37" i="7"/>
  <c r="R57" i="7"/>
  <c r="Q57" i="7"/>
  <c r="P57" i="7"/>
  <c r="R73" i="7"/>
  <c r="Q73" i="7"/>
  <c r="P73" i="7"/>
  <c r="R93" i="7"/>
  <c r="Q93" i="7"/>
  <c r="P93" i="7"/>
  <c r="R109" i="7"/>
  <c r="Q109" i="7"/>
  <c r="P109" i="7"/>
  <c r="R129" i="7"/>
  <c r="Q129" i="7"/>
  <c r="P129" i="7"/>
  <c r="R149" i="7"/>
  <c r="Q149" i="7"/>
  <c r="P149" i="7"/>
  <c r="R165" i="7"/>
  <c r="Q165" i="7"/>
  <c r="P165" i="7"/>
  <c r="R181" i="7"/>
  <c r="Q181" i="7"/>
  <c r="P181" i="7"/>
  <c r="R201" i="7"/>
  <c r="P201" i="7"/>
  <c r="Q201" i="7"/>
  <c r="R23" i="7"/>
  <c r="Q23" i="7"/>
  <c r="P23" i="7"/>
  <c r="R39" i="7"/>
  <c r="P39" i="7"/>
  <c r="Q39" i="7"/>
  <c r="R55" i="7"/>
  <c r="Q55" i="7"/>
  <c r="P55" i="7"/>
  <c r="R71" i="7"/>
  <c r="P71" i="7"/>
  <c r="Q71" i="7"/>
  <c r="Q91" i="7"/>
  <c r="R91" i="7"/>
  <c r="P91" i="7"/>
  <c r="Q111" i="7"/>
  <c r="R111" i="7"/>
  <c r="P111" i="7"/>
  <c r="R127" i="7"/>
  <c r="Q127" i="7"/>
  <c r="P127" i="7"/>
  <c r="R143" i="7"/>
  <c r="P143" i="7"/>
  <c r="Q143" i="7"/>
  <c r="R159" i="7"/>
  <c r="P159" i="7"/>
  <c r="Q159" i="7"/>
  <c r="R187" i="7"/>
  <c r="Q187" i="7"/>
  <c r="P187" i="7"/>
  <c r="R205" i="7"/>
  <c r="P205" i="7"/>
  <c r="Q205" i="7"/>
  <c r="R12" i="7"/>
  <c r="Q12" i="7"/>
  <c r="P12" i="7"/>
  <c r="R28" i="7"/>
  <c r="Q28" i="7"/>
  <c r="P28" i="7"/>
  <c r="R44" i="7"/>
  <c r="Q44" i="7"/>
  <c r="P44" i="7"/>
  <c r="R60" i="7"/>
  <c r="Q60" i="7"/>
  <c r="P60" i="7"/>
  <c r="R76" i="7"/>
  <c r="Q76" i="7"/>
  <c r="P76" i="7"/>
  <c r="R92" i="7"/>
  <c r="Q92" i="7"/>
  <c r="P92" i="7"/>
  <c r="R108" i="7"/>
  <c r="Q108" i="7"/>
  <c r="P108" i="7"/>
  <c r="Q124" i="7"/>
  <c r="P124" i="7"/>
  <c r="R124" i="7"/>
  <c r="Q140" i="7"/>
  <c r="P140" i="7"/>
  <c r="R140" i="7"/>
  <c r="Q156" i="7"/>
  <c r="P156" i="7"/>
  <c r="R156" i="7"/>
  <c r="Q172" i="7"/>
  <c r="P172" i="7"/>
  <c r="R172" i="7"/>
  <c r="Q188" i="7"/>
  <c r="P188" i="7"/>
  <c r="R188" i="7"/>
  <c r="Q204" i="7"/>
  <c r="P204" i="7"/>
  <c r="R204" i="7"/>
  <c r="Q10" i="7"/>
  <c r="R10" i="7"/>
  <c r="P10" i="7"/>
  <c r="Q42" i="7"/>
  <c r="R42" i="7"/>
  <c r="P42" i="7"/>
  <c r="Q58" i="7"/>
  <c r="R58" i="7"/>
  <c r="P58" i="7"/>
  <c r="R38" i="7"/>
  <c r="Q38" i="7"/>
  <c r="P38" i="7"/>
  <c r="R114" i="7"/>
  <c r="Q114" i="7"/>
  <c r="P114" i="7"/>
  <c r="R86" i="7"/>
  <c r="Q86" i="7"/>
  <c r="P86" i="7"/>
  <c r="P126" i="7"/>
  <c r="R126" i="7"/>
  <c r="Q126" i="7"/>
  <c r="R142" i="7"/>
  <c r="P142" i="7"/>
  <c r="Q142" i="7"/>
  <c r="P158" i="7"/>
  <c r="Q158" i="7"/>
  <c r="R158" i="7"/>
  <c r="R194" i="7"/>
  <c r="Q194" i="7"/>
  <c r="P194" i="7"/>
  <c r="Q210" i="7"/>
  <c r="R210" i="7"/>
  <c r="P210" i="7"/>
  <c r="R29" i="7"/>
  <c r="P29" i="7"/>
  <c r="Q29" i="7"/>
  <c r="R65" i="7"/>
  <c r="Q65" i="7"/>
  <c r="P65" i="7"/>
  <c r="R101" i="7"/>
  <c r="Q101" i="7"/>
  <c r="P101" i="7"/>
  <c r="R157" i="7"/>
  <c r="Q157" i="7"/>
  <c r="P157" i="7"/>
  <c r="R193" i="7"/>
  <c r="P193" i="7"/>
  <c r="Q193" i="7"/>
  <c r="Q31" i="7"/>
  <c r="R31" i="7"/>
  <c r="P31" i="7"/>
  <c r="Q47" i="7"/>
  <c r="R47" i="7"/>
  <c r="P47" i="7"/>
  <c r="Q99" i="7"/>
  <c r="P99" i="7"/>
  <c r="R99" i="7"/>
  <c r="R151" i="7"/>
  <c r="Q151" i="7"/>
  <c r="P151" i="7"/>
  <c r="R4" i="7"/>
  <c r="Q4" i="7"/>
  <c r="P4" i="7"/>
  <c r="R36" i="7"/>
  <c r="Q36" i="7"/>
  <c r="P36" i="7"/>
  <c r="R52" i="7"/>
  <c r="Q52" i="7"/>
  <c r="P52" i="7"/>
  <c r="R84" i="7"/>
  <c r="Q84" i="7"/>
  <c r="P84" i="7"/>
  <c r="R132" i="7"/>
  <c r="Q132" i="7"/>
  <c r="P132" i="7"/>
  <c r="R164" i="7"/>
  <c r="Q164" i="7"/>
  <c r="P164" i="7"/>
  <c r="R196" i="7"/>
  <c r="Q196" i="7"/>
  <c r="P196" i="7"/>
  <c r="R212" i="7"/>
  <c r="Q212" i="7"/>
  <c r="P212" i="7"/>
  <c r="Q26" i="7"/>
  <c r="R26" i="7"/>
  <c r="P26" i="7"/>
  <c r="R14" i="7"/>
  <c r="Q14" i="7"/>
  <c r="P14" i="7"/>
  <c r="Q90" i="7"/>
  <c r="R90" i="7"/>
  <c r="P90" i="7"/>
  <c r="R110" i="7"/>
  <c r="Q110" i="7"/>
  <c r="P110" i="7"/>
  <c r="R130" i="7"/>
  <c r="Q130" i="7"/>
  <c r="P130" i="7"/>
  <c r="R162" i="7"/>
  <c r="Q162" i="7"/>
  <c r="P162" i="7"/>
  <c r="R214" i="7"/>
  <c r="P214" i="7"/>
  <c r="Q214" i="7"/>
  <c r="R33" i="7"/>
  <c r="Q33" i="7"/>
  <c r="P33" i="7"/>
  <c r="R53" i="7"/>
  <c r="Q53" i="7"/>
  <c r="P53" i="7"/>
  <c r="R125" i="7"/>
  <c r="Q125" i="7"/>
  <c r="P125" i="7"/>
  <c r="R161" i="7"/>
  <c r="Q161" i="7"/>
  <c r="P161" i="7"/>
  <c r="R197" i="7"/>
  <c r="P197" i="7"/>
  <c r="Q197" i="7"/>
  <c r="R35" i="7"/>
  <c r="Q35" i="7"/>
  <c r="P35" i="7"/>
  <c r="Q51" i="7"/>
  <c r="P51" i="7"/>
  <c r="R51" i="7"/>
  <c r="Q107" i="7"/>
  <c r="R107" i="7"/>
  <c r="P107" i="7"/>
  <c r="R139" i="7"/>
  <c r="Q139" i="7"/>
  <c r="P139" i="7"/>
  <c r="R183" i="7"/>
  <c r="P183" i="7"/>
  <c r="Q183" i="7"/>
  <c r="R24" i="7"/>
  <c r="Q24" i="7"/>
  <c r="P24" i="7"/>
  <c r="R88" i="7"/>
  <c r="Q88" i="7"/>
  <c r="P88" i="7"/>
  <c r="Q120" i="7"/>
  <c r="P120" i="7"/>
  <c r="R120" i="7"/>
  <c r="Q136" i="7"/>
  <c r="P136" i="7"/>
  <c r="R136" i="7"/>
  <c r="Q168" i="7"/>
  <c r="P168" i="7"/>
  <c r="R168" i="7"/>
  <c r="Q216" i="7"/>
  <c r="P216" i="7"/>
  <c r="R216" i="7"/>
  <c r="R30" i="7"/>
  <c r="Q30" i="7"/>
  <c r="P30" i="7"/>
  <c r="R78" i="7"/>
  <c r="Q78" i="7"/>
  <c r="P78" i="7"/>
  <c r="R102" i="7"/>
  <c r="Q102" i="7"/>
  <c r="P102" i="7"/>
  <c r="R122" i="7"/>
  <c r="Q122" i="7"/>
  <c r="P122" i="7"/>
  <c r="R138" i="7"/>
  <c r="Q138" i="7"/>
  <c r="P138" i="7"/>
  <c r="R154" i="7"/>
  <c r="Q154" i="7"/>
  <c r="P154" i="7"/>
  <c r="R170" i="7"/>
  <c r="Q170" i="7"/>
  <c r="P170" i="7"/>
  <c r="P190" i="7"/>
  <c r="Q190" i="7"/>
  <c r="R190" i="7"/>
  <c r="R206" i="7"/>
  <c r="P206" i="7"/>
  <c r="Q206" i="7"/>
  <c r="R9" i="7"/>
  <c r="Q9" i="7"/>
  <c r="P9" i="7"/>
  <c r="R25" i="7"/>
  <c r="Q25" i="7"/>
  <c r="P25" i="7"/>
  <c r="R45" i="7"/>
  <c r="Q45" i="7"/>
  <c r="P45" i="7"/>
  <c r="R61" i="7"/>
  <c r="P61" i="7"/>
  <c r="Q61" i="7"/>
  <c r="R81" i="7"/>
  <c r="Q81" i="7"/>
  <c r="P81" i="7"/>
  <c r="R97" i="7"/>
  <c r="Q97" i="7"/>
  <c r="P97" i="7"/>
  <c r="R117" i="7"/>
  <c r="Q117" i="7"/>
  <c r="P117" i="7"/>
  <c r="R133" i="7"/>
  <c r="Q133" i="7"/>
  <c r="P133" i="7"/>
  <c r="R153" i="7"/>
  <c r="Q153" i="7"/>
  <c r="P153" i="7"/>
  <c r="R169" i="7"/>
  <c r="Q169" i="7"/>
  <c r="P169" i="7"/>
  <c r="R185" i="7"/>
  <c r="Q185" i="7"/>
  <c r="P185" i="7"/>
  <c r="Q11" i="7"/>
  <c r="R11" i="7"/>
  <c r="P11" i="7"/>
  <c r="Q27" i="7"/>
  <c r="R27" i="7"/>
  <c r="P27" i="7"/>
  <c r="Q43" i="7"/>
  <c r="R43" i="7"/>
  <c r="P43" i="7"/>
  <c r="Q59" i="7"/>
  <c r="R59" i="7"/>
  <c r="P59" i="7"/>
  <c r="Q75" i="7"/>
  <c r="R75" i="7"/>
  <c r="P75" i="7"/>
  <c r="Q95" i="7"/>
  <c r="R95" i="7"/>
  <c r="P95" i="7"/>
  <c r="Q115" i="7"/>
  <c r="P115" i="7"/>
  <c r="R115" i="7"/>
  <c r="R131" i="7"/>
  <c r="Q131" i="7"/>
  <c r="P131" i="7"/>
  <c r="R147" i="7"/>
  <c r="Q147" i="7"/>
  <c r="P147" i="7"/>
  <c r="R167" i="7"/>
  <c r="P167" i="7"/>
  <c r="Q167" i="7"/>
  <c r="R191" i="7"/>
  <c r="P191" i="7"/>
  <c r="Q191" i="7"/>
  <c r="R209" i="7"/>
  <c r="P209" i="7"/>
  <c r="Q209" i="7"/>
  <c r="R16" i="7"/>
  <c r="Q16" i="7"/>
  <c r="P16" i="7"/>
  <c r="R32" i="7"/>
  <c r="Q32" i="7"/>
  <c r="P32" i="7"/>
  <c r="R48" i="7"/>
  <c r="Q48" i="7"/>
  <c r="P48" i="7"/>
  <c r="R64" i="7"/>
  <c r="Q64" i="7"/>
  <c r="P64" i="7"/>
  <c r="R80" i="7"/>
  <c r="Q80" i="7"/>
  <c r="P80" i="7"/>
  <c r="R96" i="7"/>
  <c r="Q96" i="7"/>
  <c r="P96" i="7"/>
  <c r="R112" i="7"/>
  <c r="Q112" i="7"/>
  <c r="P112" i="7"/>
  <c r="Q128" i="7"/>
  <c r="R128" i="7"/>
  <c r="P128" i="7"/>
  <c r="Q144" i="7"/>
  <c r="R144" i="7"/>
  <c r="P144" i="7"/>
  <c r="Q160" i="7"/>
  <c r="R160" i="7"/>
  <c r="P160" i="7"/>
  <c r="Q176" i="7"/>
  <c r="R176" i="7"/>
  <c r="P176" i="7"/>
  <c r="Q192" i="7"/>
  <c r="R192" i="7"/>
  <c r="P192" i="7"/>
  <c r="Q208" i="7"/>
  <c r="R208" i="7"/>
  <c r="P208" i="7"/>
  <c r="P18" i="7"/>
  <c r="R18" i="7"/>
  <c r="Q18" i="7"/>
  <c r="P50" i="7"/>
  <c r="R50" i="7"/>
  <c r="Q50" i="7"/>
  <c r="Q66" i="7"/>
  <c r="R66" i="7"/>
  <c r="P66" i="7"/>
  <c r="R182" i="7"/>
  <c r="Q182" i="7"/>
  <c r="P182" i="7"/>
  <c r="J216" i="5" l="1"/>
  <c r="N216" i="5" s="1"/>
  <c r="J215" i="5"/>
  <c r="N215" i="5" s="1"/>
  <c r="J214" i="5"/>
  <c r="N214" i="5" s="1"/>
  <c r="J213" i="5"/>
  <c r="N213" i="5" s="1"/>
  <c r="J212" i="5"/>
  <c r="N212" i="5" s="1"/>
  <c r="J211" i="5"/>
  <c r="N211" i="5" s="1"/>
  <c r="J210" i="5"/>
  <c r="N210" i="5" s="1"/>
  <c r="J209" i="5"/>
  <c r="N209" i="5" s="1"/>
  <c r="J208" i="5"/>
  <c r="N208" i="5" s="1"/>
  <c r="J207" i="5"/>
  <c r="N207" i="5" s="1"/>
  <c r="J206" i="5"/>
  <c r="N206" i="5" s="1"/>
  <c r="J205" i="5"/>
  <c r="N205" i="5" s="1"/>
  <c r="J204" i="5"/>
  <c r="N204" i="5" s="1"/>
  <c r="J203" i="5"/>
  <c r="N203" i="5" s="1"/>
  <c r="J202" i="5"/>
  <c r="N202" i="5" s="1"/>
  <c r="J201" i="5"/>
  <c r="N201" i="5" s="1"/>
  <c r="J200" i="5"/>
  <c r="N200" i="5" s="1"/>
  <c r="J199" i="5"/>
  <c r="N199" i="5" s="1"/>
  <c r="J198" i="5"/>
  <c r="N198" i="5" s="1"/>
  <c r="J197" i="5"/>
  <c r="N197" i="5" s="1"/>
  <c r="J196" i="5"/>
  <c r="N196" i="5" s="1"/>
  <c r="J195" i="5"/>
  <c r="N195" i="5" s="1"/>
  <c r="J194" i="5"/>
  <c r="N194" i="5" s="1"/>
  <c r="J193" i="5"/>
  <c r="N193" i="5" s="1"/>
  <c r="J192" i="5"/>
  <c r="N192" i="5" s="1"/>
  <c r="J191" i="5"/>
  <c r="N191" i="5" s="1"/>
  <c r="J190" i="5"/>
  <c r="N190" i="5" s="1"/>
  <c r="J189" i="5"/>
  <c r="N189" i="5" s="1"/>
  <c r="J188" i="5"/>
  <c r="N188" i="5" s="1"/>
  <c r="J187" i="5"/>
  <c r="N187" i="5" s="1"/>
  <c r="J186" i="5"/>
  <c r="N186" i="5" s="1"/>
  <c r="J185" i="5"/>
  <c r="N185" i="5" s="1"/>
  <c r="J184" i="5"/>
  <c r="N184" i="5" s="1"/>
  <c r="J183" i="5"/>
  <c r="N183" i="5" s="1"/>
  <c r="J182" i="5"/>
  <c r="N182" i="5" s="1"/>
  <c r="J181" i="5"/>
  <c r="N181" i="5" s="1"/>
  <c r="J180" i="5"/>
  <c r="N180" i="5" s="1"/>
  <c r="J179" i="5"/>
  <c r="N179" i="5" s="1"/>
  <c r="J178" i="5"/>
  <c r="N178" i="5" s="1"/>
  <c r="J177" i="5"/>
  <c r="N177" i="5" s="1"/>
  <c r="J176" i="5"/>
  <c r="N176" i="5" s="1"/>
  <c r="J175" i="5"/>
  <c r="N175" i="5" s="1"/>
  <c r="J174" i="5"/>
  <c r="N174" i="5" s="1"/>
  <c r="J173" i="5"/>
  <c r="N173" i="5" s="1"/>
  <c r="J172" i="5"/>
  <c r="N172" i="5" s="1"/>
  <c r="J171" i="5"/>
  <c r="N171" i="5" s="1"/>
  <c r="J170" i="5"/>
  <c r="N170" i="5" s="1"/>
  <c r="J169" i="5"/>
  <c r="N169" i="5" s="1"/>
  <c r="J168" i="5"/>
  <c r="N168" i="5" s="1"/>
  <c r="J167" i="5"/>
  <c r="N167" i="5" s="1"/>
  <c r="J166" i="5"/>
  <c r="N166" i="5" s="1"/>
  <c r="J165" i="5"/>
  <c r="N165" i="5" s="1"/>
  <c r="J164" i="5"/>
  <c r="N164" i="5" s="1"/>
  <c r="J163" i="5"/>
  <c r="N163" i="5" s="1"/>
  <c r="J162" i="5"/>
  <c r="N162" i="5" s="1"/>
  <c r="J161" i="5"/>
  <c r="N161" i="5" s="1"/>
  <c r="J160" i="5"/>
  <c r="N160" i="5" s="1"/>
  <c r="J159" i="5"/>
  <c r="N159" i="5" s="1"/>
  <c r="J158" i="5"/>
  <c r="N158" i="5" s="1"/>
  <c r="J157" i="5"/>
  <c r="N157" i="5" s="1"/>
  <c r="J156" i="5"/>
  <c r="N156" i="5" s="1"/>
  <c r="J155" i="5"/>
  <c r="N155" i="5" s="1"/>
  <c r="J154" i="5"/>
  <c r="N154" i="5" s="1"/>
  <c r="J153" i="5"/>
  <c r="N153" i="5" s="1"/>
  <c r="J152" i="5"/>
  <c r="N152" i="5" s="1"/>
  <c r="J151" i="5"/>
  <c r="N151" i="5" s="1"/>
  <c r="J150" i="5"/>
  <c r="N150" i="5" s="1"/>
  <c r="J149" i="5"/>
  <c r="N149" i="5" s="1"/>
  <c r="J148" i="5"/>
  <c r="N148" i="5" s="1"/>
  <c r="J147" i="5"/>
  <c r="N147" i="5" s="1"/>
  <c r="J146" i="5"/>
  <c r="N146" i="5" s="1"/>
  <c r="J145" i="5"/>
  <c r="N145" i="5" s="1"/>
  <c r="J144" i="5"/>
  <c r="N144" i="5" s="1"/>
  <c r="J143" i="5"/>
  <c r="N143" i="5" s="1"/>
  <c r="J142" i="5"/>
  <c r="N142" i="5" s="1"/>
  <c r="J141" i="5"/>
  <c r="N141" i="5" s="1"/>
  <c r="J140" i="5"/>
  <c r="N140" i="5" s="1"/>
  <c r="J139" i="5"/>
  <c r="N139" i="5" s="1"/>
  <c r="J138" i="5"/>
  <c r="N138" i="5" s="1"/>
  <c r="J137" i="5"/>
  <c r="N137" i="5" s="1"/>
  <c r="J136" i="5"/>
  <c r="N136" i="5" s="1"/>
  <c r="J135" i="5"/>
  <c r="N135" i="5" s="1"/>
  <c r="J134" i="5"/>
  <c r="N134" i="5" s="1"/>
  <c r="J133" i="5"/>
  <c r="N133" i="5" s="1"/>
  <c r="J132" i="5"/>
  <c r="N132" i="5" s="1"/>
  <c r="J131" i="5"/>
  <c r="N131" i="5" s="1"/>
  <c r="J130" i="5"/>
  <c r="N130" i="5" s="1"/>
  <c r="J129" i="5"/>
  <c r="N129" i="5" s="1"/>
  <c r="J128" i="5"/>
  <c r="N128" i="5" s="1"/>
  <c r="J127" i="5"/>
  <c r="N127" i="5" s="1"/>
  <c r="J126" i="5"/>
  <c r="N126" i="5" s="1"/>
  <c r="J125" i="5"/>
  <c r="N125" i="5" s="1"/>
  <c r="J124" i="5"/>
  <c r="N124" i="5" s="1"/>
  <c r="J123" i="5"/>
  <c r="N123" i="5" s="1"/>
  <c r="J122" i="5"/>
  <c r="N122" i="5" s="1"/>
  <c r="J121" i="5"/>
  <c r="N121" i="5" s="1"/>
  <c r="J120" i="5"/>
  <c r="N120" i="5" s="1"/>
  <c r="J119" i="5"/>
  <c r="N119" i="5" s="1"/>
  <c r="J118" i="5"/>
  <c r="N118" i="5" s="1"/>
  <c r="J117" i="5"/>
  <c r="N117" i="5" s="1"/>
  <c r="J116" i="5"/>
  <c r="N116" i="5" s="1"/>
  <c r="J115" i="5"/>
  <c r="N115" i="5" s="1"/>
  <c r="J114" i="5"/>
  <c r="N114" i="5" s="1"/>
  <c r="J113" i="5"/>
  <c r="N113" i="5" s="1"/>
  <c r="J112" i="5"/>
  <c r="N112" i="5" s="1"/>
  <c r="J111" i="5"/>
  <c r="N111" i="5" s="1"/>
  <c r="J110" i="5"/>
  <c r="N110" i="5" s="1"/>
  <c r="J109" i="5"/>
  <c r="N109" i="5" s="1"/>
  <c r="J108" i="5"/>
  <c r="N108" i="5" s="1"/>
  <c r="J107" i="5"/>
  <c r="N107" i="5" s="1"/>
  <c r="J106" i="5"/>
  <c r="N106" i="5" s="1"/>
  <c r="J105" i="5"/>
  <c r="N105" i="5" s="1"/>
  <c r="J104" i="5"/>
  <c r="N104" i="5" s="1"/>
  <c r="J103" i="5"/>
  <c r="N103" i="5" s="1"/>
  <c r="J102" i="5"/>
  <c r="N102" i="5" s="1"/>
  <c r="J101" i="5"/>
  <c r="N101" i="5" s="1"/>
  <c r="J100" i="5"/>
  <c r="N100" i="5" s="1"/>
  <c r="J99" i="5"/>
  <c r="N99" i="5" s="1"/>
  <c r="J98" i="5"/>
  <c r="N98" i="5" s="1"/>
  <c r="J97" i="5"/>
  <c r="N97" i="5" s="1"/>
  <c r="J96" i="5"/>
  <c r="N96" i="5" s="1"/>
  <c r="J95" i="5"/>
  <c r="N95" i="5" s="1"/>
  <c r="J94" i="5"/>
  <c r="N94" i="5" s="1"/>
  <c r="J93" i="5"/>
  <c r="N93" i="5" s="1"/>
  <c r="J92" i="5"/>
  <c r="N92" i="5" s="1"/>
  <c r="J91" i="5"/>
  <c r="N91" i="5" s="1"/>
  <c r="J90" i="5"/>
  <c r="N90" i="5" s="1"/>
  <c r="J89" i="5"/>
  <c r="N89" i="5" s="1"/>
  <c r="J88" i="5"/>
  <c r="N88" i="5" s="1"/>
  <c r="J87" i="5"/>
  <c r="N87" i="5" s="1"/>
  <c r="J86" i="5"/>
  <c r="N86" i="5" s="1"/>
  <c r="J85" i="5"/>
  <c r="N85" i="5" s="1"/>
  <c r="J84" i="5"/>
  <c r="N84" i="5" s="1"/>
  <c r="J83" i="5"/>
  <c r="N83" i="5" s="1"/>
  <c r="J82" i="5"/>
  <c r="N82" i="5" s="1"/>
  <c r="J81" i="5"/>
  <c r="N81" i="5" s="1"/>
  <c r="J80" i="5"/>
  <c r="N80" i="5" s="1"/>
  <c r="J79" i="5"/>
  <c r="N79" i="5" s="1"/>
  <c r="J78" i="5"/>
  <c r="N78" i="5" s="1"/>
  <c r="J77" i="5"/>
  <c r="N77" i="5" s="1"/>
  <c r="J76" i="5"/>
  <c r="N76" i="5" s="1"/>
  <c r="J75" i="5"/>
  <c r="N75" i="5" s="1"/>
  <c r="J74" i="5"/>
  <c r="N74" i="5" s="1"/>
  <c r="J73" i="5"/>
  <c r="N73" i="5" s="1"/>
  <c r="J72" i="5"/>
  <c r="N72" i="5" s="1"/>
  <c r="J71" i="5"/>
  <c r="N71" i="5" s="1"/>
  <c r="J70" i="5"/>
  <c r="N70" i="5" s="1"/>
  <c r="J69" i="5"/>
  <c r="N69" i="5" s="1"/>
  <c r="J68" i="5"/>
  <c r="N68" i="5" s="1"/>
  <c r="J67" i="5"/>
  <c r="N67" i="5" s="1"/>
  <c r="J66" i="5"/>
  <c r="N66" i="5" s="1"/>
  <c r="J65" i="5"/>
  <c r="N65" i="5" s="1"/>
  <c r="J64" i="5"/>
  <c r="N64" i="5" s="1"/>
  <c r="J63" i="5"/>
  <c r="N63" i="5" s="1"/>
  <c r="J62" i="5"/>
  <c r="N62" i="5" s="1"/>
  <c r="J61" i="5"/>
  <c r="N61" i="5" s="1"/>
  <c r="J60" i="5"/>
  <c r="N60" i="5" s="1"/>
  <c r="J59" i="5"/>
  <c r="N59" i="5" s="1"/>
  <c r="J58" i="5"/>
  <c r="N58" i="5" s="1"/>
  <c r="J57" i="5"/>
  <c r="N57" i="5" s="1"/>
  <c r="J56" i="5"/>
  <c r="N56" i="5" s="1"/>
  <c r="J55" i="5"/>
  <c r="N55" i="5" s="1"/>
  <c r="J54" i="5"/>
  <c r="N54" i="5" s="1"/>
  <c r="J53" i="5"/>
  <c r="N53" i="5" s="1"/>
  <c r="J52" i="5"/>
  <c r="N52" i="5" s="1"/>
  <c r="J51" i="5"/>
  <c r="N51" i="5" s="1"/>
  <c r="J50" i="5"/>
  <c r="N50" i="5" s="1"/>
  <c r="J49" i="5"/>
  <c r="N49" i="5" s="1"/>
  <c r="J48" i="5"/>
  <c r="N48" i="5" s="1"/>
  <c r="J47" i="5"/>
  <c r="N47" i="5" s="1"/>
  <c r="J46" i="5"/>
  <c r="N46" i="5" s="1"/>
  <c r="J45" i="5"/>
  <c r="N45" i="5" s="1"/>
  <c r="J44" i="5"/>
  <c r="N44" i="5" s="1"/>
  <c r="J43" i="5"/>
  <c r="N43" i="5" s="1"/>
  <c r="J42" i="5"/>
  <c r="N42" i="5" s="1"/>
  <c r="J41" i="5"/>
  <c r="N41" i="5" s="1"/>
  <c r="J40" i="5"/>
  <c r="N40" i="5" s="1"/>
  <c r="J39" i="5"/>
  <c r="N39" i="5" s="1"/>
  <c r="J38" i="5"/>
  <c r="N38" i="5" s="1"/>
  <c r="J37" i="5"/>
  <c r="N37" i="5" s="1"/>
  <c r="J36" i="5"/>
  <c r="N36" i="5" s="1"/>
  <c r="J35" i="5"/>
  <c r="N35" i="5" s="1"/>
  <c r="J34" i="5"/>
  <c r="N34" i="5" s="1"/>
  <c r="J33" i="5"/>
  <c r="N33" i="5" s="1"/>
  <c r="J32" i="5"/>
  <c r="N32" i="5" s="1"/>
  <c r="J31" i="5"/>
  <c r="N31" i="5" s="1"/>
  <c r="J30" i="5"/>
  <c r="N30" i="5" s="1"/>
  <c r="J29" i="5"/>
  <c r="N29" i="5" s="1"/>
  <c r="J28" i="5"/>
  <c r="N28" i="5" s="1"/>
  <c r="J27" i="5"/>
  <c r="N27" i="5" s="1"/>
  <c r="J26" i="5"/>
  <c r="N26" i="5" s="1"/>
  <c r="J25" i="5"/>
  <c r="N25" i="5" s="1"/>
  <c r="J24" i="5"/>
  <c r="N24" i="5" s="1"/>
  <c r="J23" i="5"/>
  <c r="N23" i="5" s="1"/>
  <c r="J22" i="5"/>
  <c r="N22" i="5" s="1"/>
  <c r="J21" i="5"/>
  <c r="N21" i="5" s="1"/>
  <c r="J20" i="5"/>
  <c r="N20" i="5" s="1"/>
  <c r="J19" i="5"/>
  <c r="N19" i="5" s="1"/>
  <c r="J18" i="5"/>
  <c r="N18" i="5" s="1"/>
  <c r="J17" i="5"/>
  <c r="N17" i="5" s="1"/>
  <c r="J16" i="5"/>
  <c r="N16" i="5" s="1"/>
  <c r="J15" i="5"/>
  <c r="N15" i="5" s="1"/>
  <c r="J14" i="5"/>
  <c r="N14" i="5" s="1"/>
  <c r="J13" i="5"/>
  <c r="N13" i="5" s="1"/>
  <c r="J12" i="5"/>
  <c r="N12" i="5" s="1"/>
  <c r="J11" i="5"/>
  <c r="N11" i="5" s="1"/>
  <c r="J10" i="5"/>
  <c r="N10" i="5" s="1"/>
  <c r="J9" i="5"/>
  <c r="N9" i="5" s="1"/>
  <c r="J8" i="5"/>
  <c r="N8" i="5" s="1"/>
  <c r="J7" i="5"/>
  <c r="N7" i="5" s="1"/>
  <c r="J6" i="5"/>
  <c r="N6" i="5" s="1"/>
  <c r="J5" i="5"/>
  <c r="N5" i="5" s="1"/>
  <c r="J4" i="5"/>
  <c r="N4" i="5" s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3" i="2"/>
  <c r="M213" i="2"/>
  <c r="O213" i="2" s="1"/>
  <c r="L73" i="2"/>
  <c r="O4" i="5" l="1"/>
  <c r="P4" i="5" s="1"/>
  <c r="Q4" i="5" s="1"/>
  <c r="O8" i="5"/>
  <c r="P8" i="5" s="1"/>
  <c r="Q8" i="5" s="1"/>
  <c r="O12" i="5"/>
  <c r="P12" i="5" s="1"/>
  <c r="Q12" i="5" s="1"/>
  <c r="O16" i="5"/>
  <c r="P16" i="5" s="1"/>
  <c r="Q16" i="5" s="1"/>
  <c r="O20" i="5"/>
  <c r="P20" i="5" s="1"/>
  <c r="Q20" i="5" s="1"/>
  <c r="O24" i="5"/>
  <c r="P24" i="5" s="1"/>
  <c r="Q24" i="5" s="1"/>
  <c r="O28" i="5"/>
  <c r="P28" i="5" s="1"/>
  <c r="Q28" i="5" s="1"/>
  <c r="O32" i="5"/>
  <c r="P32" i="5" s="1"/>
  <c r="Q32" i="5" s="1"/>
  <c r="O36" i="5"/>
  <c r="P36" i="5" s="1"/>
  <c r="Q36" i="5" s="1"/>
  <c r="O40" i="5"/>
  <c r="P40" i="5" s="1"/>
  <c r="Q40" i="5" s="1"/>
  <c r="O44" i="5"/>
  <c r="P44" i="5" s="1"/>
  <c r="Q44" i="5" s="1"/>
  <c r="O48" i="5"/>
  <c r="P48" i="5" s="1"/>
  <c r="Q48" i="5" s="1"/>
  <c r="O52" i="5"/>
  <c r="P52" i="5" s="1"/>
  <c r="Q52" i="5" s="1"/>
  <c r="O56" i="5"/>
  <c r="P56" i="5" s="1"/>
  <c r="Q56" i="5" s="1"/>
  <c r="O60" i="5"/>
  <c r="P60" i="5" s="1"/>
  <c r="Q60" i="5" s="1"/>
  <c r="O64" i="5"/>
  <c r="P64" i="5" s="1"/>
  <c r="Q64" i="5" s="1"/>
  <c r="O68" i="5"/>
  <c r="P68" i="5" s="1"/>
  <c r="Q68" i="5" s="1"/>
  <c r="O72" i="5"/>
  <c r="P72" i="5" s="1"/>
  <c r="Q72" i="5" s="1"/>
  <c r="O76" i="5"/>
  <c r="P76" i="5" s="1"/>
  <c r="Q76" i="5" s="1"/>
  <c r="O80" i="5"/>
  <c r="P80" i="5" s="1"/>
  <c r="Q80" i="5" s="1"/>
  <c r="O84" i="5"/>
  <c r="P84" i="5" s="1"/>
  <c r="Q84" i="5" s="1"/>
  <c r="O88" i="5"/>
  <c r="P88" i="5" s="1"/>
  <c r="Q88" i="5" s="1"/>
  <c r="O92" i="5"/>
  <c r="P92" i="5" s="1"/>
  <c r="Q92" i="5" s="1"/>
  <c r="O96" i="5"/>
  <c r="P96" i="5" s="1"/>
  <c r="Q96" i="5" s="1"/>
  <c r="O100" i="5"/>
  <c r="P100" i="5" s="1"/>
  <c r="Q100" i="5" s="1"/>
  <c r="O104" i="5"/>
  <c r="P104" i="5" s="1"/>
  <c r="Q104" i="5" s="1"/>
  <c r="O108" i="5"/>
  <c r="P108" i="5" s="1"/>
  <c r="Q108" i="5" s="1"/>
  <c r="O112" i="5"/>
  <c r="P112" i="5" s="1"/>
  <c r="Q112" i="5" s="1"/>
  <c r="O116" i="5"/>
  <c r="P116" i="5" s="1"/>
  <c r="Q116" i="5" s="1"/>
  <c r="O120" i="5"/>
  <c r="P120" i="5" s="1"/>
  <c r="Q120" i="5" s="1"/>
  <c r="O124" i="5"/>
  <c r="P124" i="5" s="1"/>
  <c r="Q124" i="5" s="1"/>
  <c r="O128" i="5"/>
  <c r="P128" i="5" s="1"/>
  <c r="Q128" i="5" s="1"/>
  <c r="O132" i="5"/>
  <c r="P132" i="5" s="1"/>
  <c r="Q132" i="5" s="1"/>
  <c r="O136" i="5"/>
  <c r="P136" i="5" s="1"/>
  <c r="Q136" i="5" s="1"/>
  <c r="O140" i="5"/>
  <c r="P140" i="5" s="1"/>
  <c r="Q140" i="5" s="1"/>
  <c r="O144" i="5"/>
  <c r="P144" i="5" s="1"/>
  <c r="Q144" i="5" s="1"/>
  <c r="O148" i="5"/>
  <c r="P148" i="5" s="1"/>
  <c r="Q148" i="5" s="1"/>
  <c r="O152" i="5"/>
  <c r="P152" i="5" s="1"/>
  <c r="Q152" i="5" s="1"/>
  <c r="O156" i="5"/>
  <c r="P156" i="5" s="1"/>
  <c r="Q156" i="5" s="1"/>
  <c r="O160" i="5"/>
  <c r="P160" i="5" s="1"/>
  <c r="Q160" i="5" s="1"/>
  <c r="O164" i="5"/>
  <c r="P164" i="5" s="1"/>
  <c r="Q164" i="5" s="1"/>
  <c r="O168" i="5"/>
  <c r="P168" i="5" s="1"/>
  <c r="Q168" i="5" s="1"/>
  <c r="O172" i="5"/>
  <c r="P172" i="5" s="1"/>
  <c r="Q172" i="5" s="1"/>
  <c r="O176" i="5"/>
  <c r="P176" i="5" s="1"/>
  <c r="Q176" i="5" s="1"/>
  <c r="O180" i="5"/>
  <c r="P180" i="5" s="1"/>
  <c r="Q180" i="5" s="1"/>
  <c r="O184" i="5"/>
  <c r="P184" i="5" s="1"/>
  <c r="Q184" i="5" s="1"/>
  <c r="O188" i="5"/>
  <c r="P188" i="5" s="1"/>
  <c r="Q188" i="5" s="1"/>
  <c r="O192" i="5"/>
  <c r="P192" i="5" s="1"/>
  <c r="Q192" i="5" s="1"/>
  <c r="O196" i="5"/>
  <c r="P196" i="5" s="1"/>
  <c r="Q196" i="5" s="1"/>
  <c r="O200" i="5"/>
  <c r="P200" i="5" s="1"/>
  <c r="Q200" i="5" s="1"/>
  <c r="O204" i="5"/>
  <c r="P204" i="5" s="1"/>
  <c r="Q204" i="5" s="1"/>
  <c r="O208" i="5"/>
  <c r="P208" i="5" s="1"/>
  <c r="Q208" i="5" s="1"/>
  <c r="O212" i="5"/>
  <c r="P212" i="5" s="1"/>
  <c r="Q212" i="5" s="1"/>
  <c r="O216" i="5"/>
  <c r="P216" i="5" s="1"/>
  <c r="Q216" i="5" s="1"/>
  <c r="O5" i="5"/>
  <c r="P5" i="5" s="1"/>
  <c r="Q5" i="5" s="1"/>
  <c r="O9" i="5"/>
  <c r="P9" i="5" s="1"/>
  <c r="Q9" i="5" s="1"/>
  <c r="O13" i="5"/>
  <c r="P13" i="5" s="1"/>
  <c r="Q13" i="5" s="1"/>
  <c r="O17" i="5"/>
  <c r="P17" i="5" s="1"/>
  <c r="Q17" i="5" s="1"/>
  <c r="O21" i="5"/>
  <c r="P21" i="5" s="1"/>
  <c r="Q21" i="5" s="1"/>
  <c r="O25" i="5"/>
  <c r="P25" i="5" s="1"/>
  <c r="Q25" i="5" s="1"/>
  <c r="O29" i="5"/>
  <c r="P29" i="5" s="1"/>
  <c r="Q29" i="5" s="1"/>
  <c r="O33" i="5"/>
  <c r="P33" i="5" s="1"/>
  <c r="Q33" i="5" s="1"/>
  <c r="O37" i="5"/>
  <c r="P37" i="5" s="1"/>
  <c r="Q37" i="5" s="1"/>
  <c r="O41" i="5"/>
  <c r="P41" i="5" s="1"/>
  <c r="Q41" i="5" s="1"/>
  <c r="O45" i="5"/>
  <c r="P45" i="5" s="1"/>
  <c r="Q45" i="5" s="1"/>
  <c r="O49" i="5"/>
  <c r="P49" i="5" s="1"/>
  <c r="Q49" i="5" s="1"/>
  <c r="O53" i="5"/>
  <c r="P53" i="5" s="1"/>
  <c r="Q53" i="5" s="1"/>
  <c r="O57" i="5"/>
  <c r="P57" i="5" s="1"/>
  <c r="Q57" i="5" s="1"/>
  <c r="O61" i="5"/>
  <c r="P61" i="5" s="1"/>
  <c r="Q61" i="5" s="1"/>
  <c r="O65" i="5"/>
  <c r="P65" i="5" s="1"/>
  <c r="Q65" i="5" s="1"/>
  <c r="O69" i="5"/>
  <c r="P69" i="5" s="1"/>
  <c r="Q69" i="5" s="1"/>
  <c r="O73" i="5"/>
  <c r="P73" i="5" s="1"/>
  <c r="Q73" i="5" s="1"/>
  <c r="O77" i="5"/>
  <c r="P77" i="5" s="1"/>
  <c r="Q77" i="5" s="1"/>
  <c r="O81" i="5"/>
  <c r="P81" i="5" s="1"/>
  <c r="Q81" i="5" s="1"/>
  <c r="O85" i="5"/>
  <c r="P85" i="5" s="1"/>
  <c r="Q85" i="5" s="1"/>
  <c r="O89" i="5"/>
  <c r="P89" i="5" s="1"/>
  <c r="Q89" i="5" s="1"/>
  <c r="O93" i="5"/>
  <c r="P93" i="5" s="1"/>
  <c r="Q93" i="5" s="1"/>
  <c r="O97" i="5"/>
  <c r="P97" i="5" s="1"/>
  <c r="Q97" i="5" s="1"/>
  <c r="O101" i="5"/>
  <c r="P101" i="5" s="1"/>
  <c r="Q101" i="5" s="1"/>
  <c r="O105" i="5"/>
  <c r="P105" i="5" s="1"/>
  <c r="Q105" i="5" s="1"/>
  <c r="O109" i="5"/>
  <c r="P109" i="5" s="1"/>
  <c r="Q109" i="5" s="1"/>
  <c r="O113" i="5"/>
  <c r="P113" i="5" s="1"/>
  <c r="Q113" i="5" s="1"/>
  <c r="O117" i="5"/>
  <c r="P117" i="5" s="1"/>
  <c r="Q117" i="5" s="1"/>
  <c r="O121" i="5"/>
  <c r="P121" i="5" s="1"/>
  <c r="Q121" i="5" s="1"/>
  <c r="O125" i="5"/>
  <c r="P125" i="5" s="1"/>
  <c r="Q125" i="5" s="1"/>
  <c r="O129" i="5"/>
  <c r="P129" i="5" s="1"/>
  <c r="Q129" i="5" s="1"/>
  <c r="O133" i="5"/>
  <c r="P133" i="5" s="1"/>
  <c r="Q133" i="5" s="1"/>
  <c r="O137" i="5"/>
  <c r="P137" i="5" s="1"/>
  <c r="Q137" i="5" s="1"/>
  <c r="O141" i="5"/>
  <c r="P141" i="5" s="1"/>
  <c r="Q141" i="5" s="1"/>
  <c r="O145" i="5"/>
  <c r="P145" i="5" s="1"/>
  <c r="Q145" i="5" s="1"/>
  <c r="O149" i="5"/>
  <c r="P149" i="5" s="1"/>
  <c r="Q149" i="5" s="1"/>
  <c r="O153" i="5"/>
  <c r="P153" i="5" s="1"/>
  <c r="Q153" i="5" s="1"/>
  <c r="O157" i="5"/>
  <c r="P157" i="5" s="1"/>
  <c r="Q157" i="5" s="1"/>
  <c r="O161" i="5"/>
  <c r="P161" i="5" s="1"/>
  <c r="Q161" i="5" s="1"/>
  <c r="O165" i="5"/>
  <c r="P165" i="5" s="1"/>
  <c r="Q165" i="5" s="1"/>
  <c r="O169" i="5"/>
  <c r="P169" i="5" s="1"/>
  <c r="Q169" i="5" s="1"/>
  <c r="O173" i="5"/>
  <c r="P173" i="5" s="1"/>
  <c r="Q173" i="5" s="1"/>
  <c r="O177" i="5"/>
  <c r="P177" i="5" s="1"/>
  <c r="Q177" i="5" s="1"/>
  <c r="O181" i="5"/>
  <c r="P181" i="5" s="1"/>
  <c r="Q181" i="5" s="1"/>
  <c r="O185" i="5"/>
  <c r="P185" i="5" s="1"/>
  <c r="Q185" i="5" s="1"/>
  <c r="O189" i="5"/>
  <c r="P189" i="5" s="1"/>
  <c r="Q189" i="5" s="1"/>
  <c r="O193" i="5"/>
  <c r="P193" i="5" s="1"/>
  <c r="Q193" i="5" s="1"/>
  <c r="O197" i="5"/>
  <c r="P197" i="5" s="1"/>
  <c r="Q197" i="5" s="1"/>
  <c r="O201" i="5"/>
  <c r="P201" i="5" s="1"/>
  <c r="Q201" i="5" s="1"/>
  <c r="O205" i="5"/>
  <c r="P205" i="5" s="1"/>
  <c r="Q205" i="5" s="1"/>
  <c r="O209" i="5"/>
  <c r="P209" i="5" s="1"/>
  <c r="Q209" i="5" s="1"/>
  <c r="O213" i="5"/>
  <c r="P213" i="5" s="1"/>
  <c r="Q213" i="5" s="1"/>
  <c r="O6" i="5"/>
  <c r="P6" i="5" s="1"/>
  <c r="Q6" i="5" s="1"/>
  <c r="O10" i="5"/>
  <c r="P10" i="5" s="1"/>
  <c r="Q10" i="5" s="1"/>
  <c r="O14" i="5"/>
  <c r="P14" i="5" s="1"/>
  <c r="Q14" i="5" s="1"/>
  <c r="O18" i="5"/>
  <c r="P18" i="5" s="1"/>
  <c r="Q18" i="5" s="1"/>
  <c r="O22" i="5"/>
  <c r="P22" i="5" s="1"/>
  <c r="Q22" i="5" s="1"/>
  <c r="O26" i="5"/>
  <c r="P26" i="5" s="1"/>
  <c r="Q26" i="5" s="1"/>
  <c r="O30" i="5"/>
  <c r="P30" i="5" s="1"/>
  <c r="Q30" i="5" s="1"/>
  <c r="O34" i="5"/>
  <c r="P34" i="5" s="1"/>
  <c r="Q34" i="5" s="1"/>
  <c r="O38" i="5"/>
  <c r="P38" i="5" s="1"/>
  <c r="Q38" i="5" s="1"/>
  <c r="O42" i="5"/>
  <c r="P42" i="5" s="1"/>
  <c r="Q42" i="5" s="1"/>
  <c r="O46" i="5"/>
  <c r="P46" i="5" s="1"/>
  <c r="Q46" i="5" s="1"/>
  <c r="O50" i="5"/>
  <c r="P50" i="5" s="1"/>
  <c r="Q50" i="5" s="1"/>
  <c r="O54" i="5"/>
  <c r="P54" i="5" s="1"/>
  <c r="Q54" i="5" s="1"/>
  <c r="O58" i="5"/>
  <c r="P58" i="5" s="1"/>
  <c r="Q58" i="5" s="1"/>
  <c r="O62" i="5"/>
  <c r="P62" i="5" s="1"/>
  <c r="Q62" i="5" s="1"/>
  <c r="O66" i="5"/>
  <c r="P66" i="5" s="1"/>
  <c r="Q66" i="5" s="1"/>
  <c r="O70" i="5"/>
  <c r="P70" i="5" s="1"/>
  <c r="Q70" i="5" s="1"/>
  <c r="O74" i="5"/>
  <c r="P74" i="5" s="1"/>
  <c r="Q74" i="5" s="1"/>
  <c r="O78" i="5"/>
  <c r="P78" i="5" s="1"/>
  <c r="Q78" i="5" s="1"/>
  <c r="O82" i="5"/>
  <c r="P82" i="5" s="1"/>
  <c r="Q82" i="5" s="1"/>
  <c r="O86" i="5"/>
  <c r="P86" i="5" s="1"/>
  <c r="Q86" i="5" s="1"/>
  <c r="O90" i="5"/>
  <c r="P90" i="5" s="1"/>
  <c r="Q90" i="5" s="1"/>
  <c r="O94" i="5"/>
  <c r="P94" i="5" s="1"/>
  <c r="Q94" i="5" s="1"/>
  <c r="O98" i="5"/>
  <c r="P98" i="5" s="1"/>
  <c r="Q98" i="5" s="1"/>
  <c r="O102" i="5"/>
  <c r="P102" i="5" s="1"/>
  <c r="Q102" i="5" s="1"/>
  <c r="O106" i="5"/>
  <c r="P106" i="5" s="1"/>
  <c r="Q106" i="5" s="1"/>
  <c r="O110" i="5"/>
  <c r="P110" i="5" s="1"/>
  <c r="Q110" i="5" s="1"/>
  <c r="O114" i="5"/>
  <c r="P114" i="5" s="1"/>
  <c r="Q114" i="5" s="1"/>
  <c r="O118" i="5"/>
  <c r="P118" i="5" s="1"/>
  <c r="Q118" i="5" s="1"/>
  <c r="O122" i="5"/>
  <c r="P122" i="5" s="1"/>
  <c r="Q122" i="5" s="1"/>
  <c r="O126" i="5"/>
  <c r="P126" i="5" s="1"/>
  <c r="Q126" i="5" s="1"/>
  <c r="O130" i="5"/>
  <c r="P130" i="5" s="1"/>
  <c r="Q130" i="5" s="1"/>
  <c r="O134" i="5"/>
  <c r="P134" i="5" s="1"/>
  <c r="Q134" i="5" s="1"/>
  <c r="O138" i="5"/>
  <c r="P138" i="5" s="1"/>
  <c r="Q138" i="5" s="1"/>
  <c r="O142" i="5"/>
  <c r="P142" i="5" s="1"/>
  <c r="Q142" i="5" s="1"/>
  <c r="O146" i="5"/>
  <c r="P146" i="5" s="1"/>
  <c r="Q146" i="5" s="1"/>
  <c r="O150" i="5"/>
  <c r="P150" i="5" s="1"/>
  <c r="Q150" i="5" s="1"/>
  <c r="O154" i="5"/>
  <c r="P154" i="5" s="1"/>
  <c r="Q154" i="5" s="1"/>
  <c r="O158" i="5"/>
  <c r="P158" i="5" s="1"/>
  <c r="Q158" i="5" s="1"/>
  <c r="O162" i="5"/>
  <c r="P162" i="5" s="1"/>
  <c r="Q162" i="5" s="1"/>
  <c r="O166" i="5"/>
  <c r="P166" i="5" s="1"/>
  <c r="Q166" i="5" s="1"/>
  <c r="O170" i="5"/>
  <c r="P170" i="5" s="1"/>
  <c r="Q170" i="5"/>
  <c r="O174" i="5"/>
  <c r="P174" i="5" s="1"/>
  <c r="Q174" i="5" s="1"/>
  <c r="O178" i="5"/>
  <c r="P178" i="5" s="1"/>
  <c r="Q178" i="5" s="1"/>
  <c r="O182" i="5"/>
  <c r="P182" i="5" s="1"/>
  <c r="Q182" i="5" s="1"/>
  <c r="O186" i="5"/>
  <c r="P186" i="5" s="1"/>
  <c r="Q186" i="5" s="1"/>
  <c r="O190" i="5"/>
  <c r="P190" i="5" s="1"/>
  <c r="Q190" i="5" s="1"/>
  <c r="O194" i="5"/>
  <c r="P194" i="5" s="1"/>
  <c r="Q194" i="5" s="1"/>
  <c r="O198" i="5"/>
  <c r="P198" i="5" s="1"/>
  <c r="Q198" i="5" s="1"/>
  <c r="O202" i="5"/>
  <c r="P202" i="5" s="1"/>
  <c r="Q202" i="5" s="1"/>
  <c r="O206" i="5"/>
  <c r="P206" i="5" s="1"/>
  <c r="Q206" i="5" s="1"/>
  <c r="O210" i="5"/>
  <c r="P210" i="5" s="1"/>
  <c r="Q210" i="5" s="1"/>
  <c r="O214" i="5"/>
  <c r="P214" i="5" s="1"/>
  <c r="Q214" i="5" s="1"/>
  <c r="O7" i="5"/>
  <c r="P7" i="5" s="1"/>
  <c r="Q7" i="5" s="1"/>
  <c r="O11" i="5"/>
  <c r="P11" i="5" s="1"/>
  <c r="Q11" i="5" s="1"/>
  <c r="O15" i="5"/>
  <c r="P15" i="5" s="1"/>
  <c r="Q15" i="5" s="1"/>
  <c r="O19" i="5"/>
  <c r="P19" i="5" s="1"/>
  <c r="Q19" i="5" s="1"/>
  <c r="O23" i="5"/>
  <c r="P23" i="5" s="1"/>
  <c r="Q23" i="5" s="1"/>
  <c r="O27" i="5"/>
  <c r="P27" i="5" s="1"/>
  <c r="Q27" i="5"/>
  <c r="O31" i="5"/>
  <c r="P31" i="5" s="1"/>
  <c r="Q31" i="5" s="1"/>
  <c r="O35" i="5"/>
  <c r="P35" i="5" s="1"/>
  <c r="Q35" i="5" s="1"/>
  <c r="O39" i="5"/>
  <c r="P39" i="5" s="1"/>
  <c r="Q39" i="5" s="1"/>
  <c r="O43" i="5"/>
  <c r="P43" i="5" s="1"/>
  <c r="Q43" i="5" s="1"/>
  <c r="O47" i="5"/>
  <c r="P47" i="5" s="1"/>
  <c r="Q47" i="5" s="1"/>
  <c r="O51" i="5"/>
  <c r="P51" i="5" s="1"/>
  <c r="Q51" i="5" s="1"/>
  <c r="O55" i="5"/>
  <c r="P55" i="5" s="1"/>
  <c r="Q55" i="5" s="1"/>
  <c r="O59" i="5"/>
  <c r="P59" i="5" s="1"/>
  <c r="Q59" i="5" s="1"/>
  <c r="O63" i="5"/>
  <c r="P63" i="5" s="1"/>
  <c r="Q63" i="5" s="1"/>
  <c r="O67" i="5"/>
  <c r="P67" i="5" s="1"/>
  <c r="Q67" i="5" s="1"/>
  <c r="O71" i="5"/>
  <c r="P71" i="5" s="1"/>
  <c r="Q71" i="5" s="1"/>
  <c r="O75" i="5"/>
  <c r="P75" i="5" s="1"/>
  <c r="Q75" i="5" s="1"/>
  <c r="O79" i="5"/>
  <c r="P79" i="5" s="1"/>
  <c r="Q79" i="5" s="1"/>
  <c r="O83" i="5"/>
  <c r="P83" i="5" s="1"/>
  <c r="Q83" i="5" s="1"/>
  <c r="O87" i="5"/>
  <c r="P87" i="5" s="1"/>
  <c r="Q87" i="5" s="1"/>
  <c r="O91" i="5"/>
  <c r="P91" i="5" s="1"/>
  <c r="Q91" i="5" s="1"/>
  <c r="O95" i="5"/>
  <c r="P95" i="5" s="1"/>
  <c r="Q95" i="5" s="1"/>
  <c r="O99" i="5"/>
  <c r="P99" i="5" s="1"/>
  <c r="Q99" i="5" s="1"/>
  <c r="O103" i="5"/>
  <c r="P103" i="5" s="1"/>
  <c r="Q103" i="5" s="1"/>
  <c r="O107" i="5"/>
  <c r="P107" i="5" s="1"/>
  <c r="Q107" i="5" s="1"/>
  <c r="O111" i="5"/>
  <c r="P111" i="5" s="1"/>
  <c r="Q111" i="5" s="1"/>
  <c r="O115" i="5"/>
  <c r="P115" i="5" s="1"/>
  <c r="Q115" i="5" s="1"/>
  <c r="O119" i="5"/>
  <c r="P119" i="5" s="1"/>
  <c r="Q119" i="5" s="1"/>
  <c r="O123" i="5"/>
  <c r="P123" i="5" s="1"/>
  <c r="Q123" i="5" s="1"/>
  <c r="O127" i="5"/>
  <c r="P127" i="5" s="1"/>
  <c r="Q127" i="5" s="1"/>
  <c r="O131" i="5"/>
  <c r="P131" i="5" s="1"/>
  <c r="Q131" i="5" s="1"/>
  <c r="O135" i="5"/>
  <c r="P135" i="5" s="1"/>
  <c r="Q135" i="5" s="1"/>
  <c r="O139" i="5"/>
  <c r="P139" i="5" s="1"/>
  <c r="Q139" i="5" s="1"/>
  <c r="O143" i="5"/>
  <c r="P143" i="5" s="1"/>
  <c r="Q143" i="5" s="1"/>
  <c r="O147" i="5"/>
  <c r="P147" i="5" s="1"/>
  <c r="Q147" i="5" s="1"/>
  <c r="O151" i="5"/>
  <c r="P151" i="5" s="1"/>
  <c r="Q151" i="5" s="1"/>
  <c r="O155" i="5"/>
  <c r="P155" i="5" s="1"/>
  <c r="Q155" i="5" s="1"/>
  <c r="O159" i="5"/>
  <c r="P159" i="5" s="1"/>
  <c r="Q159" i="5" s="1"/>
  <c r="O163" i="5"/>
  <c r="P163" i="5" s="1"/>
  <c r="Q163" i="5" s="1"/>
  <c r="O167" i="5"/>
  <c r="P167" i="5" s="1"/>
  <c r="Q167" i="5" s="1"/>
  <c r="O171" i="5"/>
  <c r="P171" i="5" s="1"/>
  <c r="Q171" i="5" s="1"/>
  <c r="O175" i="5"/>
  <c r="P175" i="5" s="1"/>
  <c r="Q175" i="5"/>
  <c r="O179" i="5"/>
  <c r="P179" i="5" s="1"/>
  <c r="Q179" i="5" s="1"/>
  <c r="O183" i="5"/>
  <c r="P183" i="5" s="1"/>
  <c r="Q183" i="5" s="1"/>
  <c r="O187" i="5"/>
  <c r="P187" i="5" s="1"/>
  <c r="Q187" i="5" s="1"/>
  <c r="O191" i="5"/>
  <c r="P191" i="5" s="1"/>
  <c r="Q191" i="5" s="1"/>
  <c r="O195" i="5"/>
  <c r="P195" i="5" s="1"/>
  <c r="Q195" i="5" s="1"/>
  <c r="O199" i="5"/>
  <c r="P199" i="5" s="1"/>
  <c r="Q199" i="5" s="1"/>
  <c r="O203" i="5"/>
  <c r="P203" i="5" s="1"/>
  <c r="Q203" i="5" s="1"/>
  <c r="O207" i="5"/>
  <c r="P207" i="5" s="1"/>
  <c r="Q207" i="5" s="1"/>
  <c r="O211" i="5"/>
  <c r="P211" i="5" s="1"/>
  <c r="Q211" i="5" s="1"/>
  <c r="O215" i="5"/>
  <c r="P215" i="5" s="1"/>
  <c r="Q215" i="5" s="1"/>
  <c r="N213" i="2"/>
  <c r="P213" i="2"/>
  <c r="Q213" i="2" s="1"/>
  <c r="J212" i="2"/>
  <c r="M212" i="2" s="1"/>
  <c r="J211" i="2"/>
  <c r="M211" i="2" s="1"/>
  <c r="J210" i="2"/>
  <c r="M210" i="2" s="1"/>
  <c r="J209" i="2"/>
  <c r="M209" i="2" s="1"/>
  <c r="J208" i="2"/>
  <c r="M208" i="2" s="1"/>
  <c r="J207" i="2"/>
  <c r="M207" i="2" s="1"/>
  <c r="J206" i="2"/>
  <c r="M206" i="2" s="1"/>
  <c r="J205" i="2"/>
  <c r="M205" i="2" s="1"/>
  <c r="J204" i="2"/>
  <c r="M204" i="2" s="1"/>
  <c r="J203" i="2"/>
  <c r="M203" i="2" s="1"/>
  <c r="J202" i="2"/>
  <c r="M202" i="2" s="1"/>
  <c r="J201" i="2"/>
  <c r="M201" i="2" s="1"/>
  <c r="J200" i="2"/>
  <c r="M200" i="2" s="1"/>
  <c r="J199" i="2"/>
  <c r="M199" i="2" s="1"/>
  <c r="J198" i="2"/>
  <c r="M198" i="2" s="1"/>
  <c r="J197" i="2"/>
  <c r="M197" i="2" s="1"/>
  <c r="J196" i="2"/>
  <c r="M196" i="2" s="1"/>
  <c r="J195" i="2"/>
  <c r="M195" i="2" s="1"/>
  <c r="J194" i="2"/>
  <c r="M194" i="2" s="1"/>
  <c r="J193" i="2"/>
  <c r="M193" i="2" s="1"/>
  <c r="J192" i="2"/>
  <c r="M192" i="2" s="1"/>
  <c r="J191" i="2"/>
  <c r="M191" i="2" s="1"/>
  <c r="J190" i="2"/>
  <c r="M190" i="2" s="1"/>
  <c r="J189" i="2"/>
  <c r="M189" i="2" s="1"/>
  <c r="J188" i="2"/>
  <c r="M188" i="2" s="1"/>
  <c r="J187" i="2"/>
  <c r="M187" i="2" s="1"/>
  <c r="J186" i="2"/>
  <c r="M186" i="2" s="1"/>
  <c r="J185" i="2"/>
  <c r="M185" i="2" s="1"/>
  <c r="J184" i="2"/>
  <c r="M184" i="2" s="1"/>
  <c r="J183" i="2"/>
  <c r="M183" i="2" s="1"/>
  <c r="J182" i="2"/>
  <c r="M182" i="2" s="1"/>
  <c r="J181" i="2"/>
  <c r="M181" i="2" s="1"/>
  <c r="J180" i="2"/>
  <c r="M180" i="2" s="1"/>
  <c r="J179" i="2"/>
  <c r="M179" i="2" s="1"/>
  <c r="J178" i="2"/>
  <c r="M178" i="2" s="1"/>
  <c r="J177" i="2"/>
  <c r="M177" i="2" s="1"/>
  <c r="J176" i="2"/>
  <c r="M176" i="2" s="1"/>
  <c r="J175" i="2"/>
  <c r="M175" i="2" s="1"/>
  <c r="J174" i="2"/>
  <c r="M174" i="2" s="1"/>
  <c r="J173" i="2"/>
  <c r="M173" i="2" s="1"/>
  <c r="J172" i="2"/>
  <c r="M172" i="2" s="1"/>
  <c r="J171" i="2"/>
  <c r="M171" i="2" s="1"/>
  <c r="J170" i="2"/>
  <c r="M170" i="2" s="1"/>
  <c r="J169" i="2"/>
  <c r="M169" i="2" s="1"/>
  <c r="J168" i="2"/>
  <c r="M168" i="2" s="1"/>
  <c r="J167" i="2"/>
  <c r="M167" i="2" s="1"/>
  <c r="J166" i="2"/>
  <c r="M166" i="2" s="1"/>
  <c r="J165" i="2"/>
  <c r="M165" i="2" s="1"/>
  <c r="J164" i="2"/>
  <c r="M164" i="2" s="1"/>
  <c r="J163" i="2"/>
  <c r="M163" i="2" s="1"/>
  <c r="J162" i="2"/>
  <c r="M162" i="2" s="1"/>
  <c r="J161" i="2"/>
  <c r="M161" i="2" s="1"/>
  <c r="J160" i="2"/>
  <c r="M160" i="2" s="1"/>
  <c r="J159" i="2"/>
  <c r="M159" i="2" s="1"/>
  <c r="J158" i="2"/>
  <c r="M158" i="2" s="1"/>
  <c r="J157" i="2"/>
  <c r="M157" i="2" s="1"/>
  <c r="J156" i="2"/>
  <c r="M156" i="2" s="1"/>
  <c r="J155" i="2"/>
  <c r="M155" i="2" s="1"/>
  <c r="J154" i="2"/>
  <c r="M154" i="2" s="1"/>
  <c r="J153" i="2"/>
  <c r="M153" i="2" s="1"/>
  <c r="J152" i="2"/>
  <c r="M152" i="2" s="1"/>
  <c r="J151" i="2"/>
  <c r="M151" i="2" s="1"/>
  <c r="J150" i="2"/>
  <c r="M150" i="2" s="1"/>
  <c r="J149" i="2"/>
  <c r="M149" i="2" s="1"/>
  <c r="J148" i="2"/>
  <c r="M148" i="2" s="1"/>
  <c r="J147" i="2"/>
  <c r="M147" i="2" s="1"/>
  <c r="J146" i="2"/>
  <c r="M146" i="2" s="1"/>
  <c r="J145" i="2"/>
  <c r="M145" i="2" s="1"/>
  <c r="J144" i="2"/>
  <c r="M144" i="2" s="1"/>
  <c r="J143" i="2"/>
  <c r="M143" i="2" s="1"/>
  <c r="J142" i="2"/>
  <c r="M142" i="2" s="1"/>
  <c r="J141" i="2"/>
  <c r="M141" i="2" s="1"/>
  <c r="J140" i="2"/>
  <c r="M140" i="2" s="1"/>
  <c r="J139" i="2"/>
  <c r="M139" i="2" s="1"/>
  <c r="J138" i="2"/>
  <c r="M138" i="2" s="1"/>
  <c r="J137" i="2"/>
  <c r="M137" i="2" s="1"/>
  <c r="J136" i="2"/>
  <c r="M136" i="2" s="1"/>
  <c r="J135" i="2"/>
  <c r="M135" i="2" s="1"/>
  <c r="J134" i="2"/>
  <c r="M134" i="2" s="1"/>
  <c r="J133" i="2"/>
  <c r="M133" i="2" s="1"/>
  <c r="J132" i="2"/>
  <c r="M132" i="2" s="1"/>
  <c r="J131" i="2"/>
  <c r="M131" i="2" s="1"/>
  <c r="J130" i="2"/>
  <c r="M130" i="2" s="1"/>
  <c r="J129" i="2"/>
  <c r="M129" i="2" s="1"/>
  <c r="J128" i="2"/>
  <c r="M128" i="2" s="1"/>
  <c r="J127" i="2"/>
  <c r="M127" i="2" s="1"/>
  <c r="J126" i="2"/>
  <c r="M126" i="2" s="1"/>
  <c r="J125" i="2"/>
  <c r="M125" i="2" s="1"/>
  <c r="J124" i="2"/>
  <c r="M124" i="2" s="1"/>
  <c r="J123" i="2"/>
  <c r="M123" i="2" s="1"/>
  <c r="J122" i="2"/>
  <c r="M122" i="2" s="1"/>
  <c r="J121" i="2"/>
  <c r="M121" i="2" s="1"/>
  <c r="J120" i="2"/>
  <c r="M120" i="2" s="1"/>
  <c r="J119" i="2"/>
  <c r="M119" i="2" s="1"/>
  <c r="J118" i="2"/>
  <c r="M118" i="2" s="1"/>
  <c r="J117" i="2"/>
  <c r="M117" i="2" s="1"/>
  <c r="J116" i="2"/>
  <c r="M116" i="2" s="1"/>
  <c r="J115" i="2"/>
  <c r="M115" i="2" s="1"/>
  <c r="J114" i="2"/>
  <c r="M114" i="2" s="1"/>
  <c r="J113" i="2"/>
  <c r="M113" i="2" s="1"/>
  <c r="J112" i="2"/>
  <c r="M112" i="2" s="1"/>
  <c r="J111" i="2"/>
  <c r="M111" i="2" s="1"/>
  <c r="J110" i="2"/>
  <c r="M110" i="2" s="1"/>
  <c r="J109" i="2"/>
  <c r="M109" i="2" s="1"/>
  <c r="J108" i="2"/>
  <c r="M108" i="2" s="1"/>
  <c r="J107" i="2"/>
  <c r="M107" i="2" s="1"/>
  <c r="J106" i="2"/>
  <c r="M106" i="2" s="1"/>
  <c r="J105" i="2"/>
  <c r="M105" i="2" s="1"/>
  <c r="J104" i="2"/>
  <c r="M104" i="2" s="1"/>
  <c r="J103" i="2"/>
  <c r="M103" i="2" s="1"/>
  <c r="J102" i="2"/>
  <c r="M102" i="2" s="1"/>
  <c r="J101" i="2"/>
  <c r="M101" i="2" s="1"/>
  <c r="J100" i="2"/>
  <c r="M100" i="2" s="1"/>
  <c r="J99" i="2"/>
  <c r="M99" i="2" s="1"/>
  <c r="J98" i="2"/>
  <c r="M98" i="2" s="1"/>
  <c r="J97" i="2"/>
  <c r="M97" i="2" s="1"/>
  <c r="J96" i="2"/>
  <c r="M96" i="2" s="1"/>
  <c r="J95" i="2"/>
  <c r="M95" i="2" s="1"/>
  <c r="J94" i="2"/>
  <c r="M94" i="2" s="1"/>
  <c r="J93" i="2"/>
  <c r="M93" i="2" s="1"/>
  <c r="J92" i="2"/>
  <c r="M92" i="2" s="1"/>
  <c r="J91" i="2"/>
  <c r="M91" i="2" s="1"/>
  <c r="J90" i="2"/>
  <c r="M90" i="2" s="1"/>
  <c r="J89" i="2"/>
  <c r="M89" i="2" s="1"/>
  <c r="J88" i="2"/>
  <c r="M88" i="2" s="1"/>
  <c r="J87" i="2"/>
  <c r="M87" i="2" s="1"/>
  <c r="J86" i="2"/>
  <c r="M86" i="2" s="1"/>
  <c r="J85" i="2"/>
  <c r="M85" i="2" s="1"/>
  <c r="J84" i="2"/>
  <c r="M84" i="2" s="1"/>
  <c r="J83" i="2"/>
  <c r="M83" i="2" s="1"/>
  <c r="J82" i="2"/>
  <c r="M82" i="2" s="1"/>
  <c r="J81" i="2"/>
  <c r="M81" i="2" s="1"/>
  <c r="J80" i="2"/>
  <c r="M80" i="2" s="1"/>
  <c r="J79" i="2"/>
  <c r="M79" i="2" s="1"/>
  <c r="J78" i="2"/>
  <c r="M78" i="2" s="1"/>
  <c r="J77" i="2"/>
  <c r="M77" i="2" s="1"/>
  <c r="J76" i="2"/>
  <c r="M76" i="2" s="1"/>
  <c r="J75" i="2"/>
  <c r="M75" i="2" s="1"/>
  <c r="J74" i="2"/>
  <c r="M74" i="2" s="1"/>
  <c r="J73" i="2"/>
  <c r="M73" i="2" s="1"/>
  <c r="J72" i="2"/>
  <c r="M72" i="2" s="1"/>
  <c r="J71" i="2"/>
  <c r="M71" i="2" s="1"/>
  <c r="J70" i="2"/>
  <c r="M70" i="2" s="1"/>
  <c r="J69" i="2"/>
  <c r="M69" i="2" s="1"/>
  <c r="J68" i="2"/>
  <c r="M68" i="2" s="1"/>
  <c r="J67" i="2"/>
  <c r="M67" i="2" s="1"/>
  <c r="J66" i="2"/>
  <c r="M66" i="2" s="1"/>
  <c r="J65" i="2"/>
  <c r="M65" i="2" s="1"/>
  <c r="J64" i="2"/>
  <c r="M64" i="2" s="1"/>
  <c r="J63" i="2"/>
  <c r="M63" i="2" s="1"/>
  <c r="J62" i="2"/>
  <c r="M62" i="2" s="1"/>
  <c r="J61" i="2"/>
  <c r="M61" i="2" s="1"/>
  <c r="J60" i="2"/>
  <c r="M60" i="2" s="1"/>
  <c r="J59" i="2"/>
  <c r="M59" i="2" s="1"/>
  <c r="J58" i="2"/>
  <c r="M58" i="2" s="1"/>
  <c r="J57" i="2"/>
  <c r="M57" i="2" s="1"/>
  <c r="J56" i="2"/>
  <c r="M56" i="2" s="1"/>
  <c r="J55" i="2"/>
  <c r="M55" i="2" s="1"/>
  <c r="J54" i="2"/>
  <c r="M54" i="2" s="1"/>
  <c r="J53" i="2"/>
  <c r="M53" i="2" s="1"/>
  <c r="J52" i="2"/>
  <c r="M52" i="2" s="1"/>
  <c r="J51" i="2"/>
  <c r="M51" i="2" s="1"/>
  <c r="J50" i="2"/>
  <c r="M50" i="2" s="1"/>
  <c r="J49" i="2"/>
  <c r="M49" i="2" s="1"/>
  <c r="J48" i="2"/>
  <c r="M48" i="2" s="1"/>
  <c r="J47" i="2"/>
  <c r="M47" i="2" s="1"/>
  <c r="J46" i="2"/>
  <c r="M46" i="2" s="1"/>
  <c r="J45" i="2"/>
  <c r="M45" i="2" s="1"/>
  <c r="J44" i="2"/>
  <c r="M44" i="2" s="1"/>
  <c r="J43" i="2"/>
  <c r="M43" i="2" s="1"/>
  <c r="J42" i="2"/>
  <c r="M42" i="2" s="1"/>
  <c r="J41" i="2"/>
  <c r="M41" i="2" s="1"/>
  <c r="J40" i="2"/>
  <c r="M40" i="2" s="1"/>
  <c r="J39" i="2"/>
  <c r="M39" i="2" s="1"/>
  <c r="J38" i="2"/>
  <c r="M38" i="2" s="1"/>
  <c r="J37" i="2"/>
  <c r="M37" i="2" s="1"/>
  <c r="J36" i="2"/>
  <c r="M36" i="2" s="1"/>
  <c r="J35" i="2"/>
  <c r="M35" i="2" s="1"/>
  <c r="J34" i="2"/>
  <c r="M34" i="2" s="1"/>
  <c r="J33" i="2"/>
  <c r="M33" i="2" s="1"/>
  <c r="J32" i="2"/>
  <c r="M32" i="2" s="1"/>
  <c r="J31" i="2"/>
  <c r="M31" i="2" s="1"/>
  <c r="J30" i="2"/>
  <c r="M30" i="2" s="1"/>
  <c r="J29" i="2"/>
  <c r="M29" i="2" s="1"/>
  <c r="J28" i="2"/>
  <c r="M28" i="2" s="1"/>
  <c r="J27" i="2"/>
  <c r="M27" i="2" s="1"/>
  <c r="J26" i="2"/>
  <c r="M26" i="2" s="1"/>
  <c r="J25" i="2"/>
  <c r="M25" i="2" s="1"/>
  <c r="J24" i="2"/>
  <c r="M24" i="2" s="1"/>
  <c r="J23" i="2"/>
  <c r="M23" i="2" s="1"/>
  <c r="J22" i="2"/>
  <c r="M22" i="2" s="1"/>
  <c r="J21" i="2"/>
  <c r="M21" i="2" s="1"/>
  <c r="J20" i="2"/>
  <c r="M20" i="2" s="1"/>
  <c r="J19" i="2"/>
  <c r="M19" i="2" s="1"/>
  <c r="J18" i="2"/>
  <c r="M18" i="2" s="1"/>
  <c r="J17" i="2"/>
  <c r="M17" i="2" s="1"/>
  <c r="J16" i="2"/>
  <c r="M16" i="2" s="1"/>
  <c r="J15" i="2"/>
  <c r="M15" i="2" s="1"/>
  <c r="J14" i="2"/>
  <c r="M14" i="2" s="1"/>
  <c r="J13" i="2"/>
  <c r="M13" i="2" s="1"/>
  <c r="J12" i="2"/>
  <c r="M12" i="2" s="1"/>
  <c r="J11" i="2"/>
  <c r="M11" i="2" s="1"/>
  <c r="J10" i="2"/>
  <c r="M10" i="2" s="1"/>
  <c r="J9" i="2"/>
  <c r="M9" i="2" s="1"/>
  <c r="J8" i="2"/>
  <c r="M8" i="2" s="1"/>
  <c r="J7" i="2"/>
  <c r="M7" i="2" s="1"/>
  <c r="J6" i="2"/>
  <c r="M6" i="2" s="1"/>
  <c r="J5" i="2"/>
  <c r="M5" i="2" s="1"/>
  <c r="J4" i="2"/>
  <c r="M4" i="2" s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3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W213" i="2" l="1"/>
  <c r="V213" i="2"/>
  <c r="U213" i="2"/>
  <c r="O4" i="2"/>
  <c r="O12" i="2"/>
  <c r="O20" i="2"/>
  <c r="O28" i="2"/>
  <c r="O36" i="2"/>
  <c r="O44" i="2"/>
  <c r="O48" i="2"/>
  <c r="O64" i="2"/>
  <c r="O6" i="2"/>
  <c r="O10" i="2"/>
  <c r="O14" i="2"/>
  <c r="O18" i="2"/>
  <c r="O22" i="2"/>
  <c r="O26" i="2"/>
  <c r="O30" i="2"/>
  <c r="O34" i="2"/>
  <c r="O38" i="2"/>
  <c r="O42" i="2"/>
  <c r="O46" i="2"/>
  <c r="O50" i="2"/>
  <c r="O54" i="2"/>
  <c r="O58" i="2"/>
  <c r="O62" i="2"/>
  <c r="O66" i="2"/>
  <c r="O70" i="2"/>
  <c r="O74" i="2"/>
  <c r="O78" i="2"/>
  <c r="O82" i="2"/>
  <c r="O86" i="2"/>
  <c r="O90" i="2"/>
  <c r="O94" i="2"/>
  <c r="O98" i="2"/>
  <c r="O102" i="2"/>
  <c r="O106" i="2"/>
  <c r="O110" i="2"/>
  <c r="O114" i="2"/>
  <c r="O118" i="2"/>
  <c r="O122" i="2"/>
  <c r="O126" i="2"/>
  <c r="O130" i="2"/>
  <c r="O134" i="2"/>
  <c r="O138" i="2"/>
  <c r="O142" i="2"/>
  <c r="O146" i="2"/>
  <c r="O150" i="2"/>
  <c r="O154" i="2"/>
  <c r="O158" i="2"/>
  <c r="O162" i="2"/>
  <c r="O166" i="2"/>
  <c r="O170" i="2"/>
  <c r="O174" i="2"/>
  <c r="O178" i="2"/>
  <c r="O182" i="2"/>
  <c r="O186" i="2"/>
  <c r="O190" i="2"/>
  <c r="O194" i="2"/>
  <c r="O198" i="2"/>
  <c r="O202" i="2"/>
  <c r="O206" i="2"/>
  <c r="O210" i="2"/>
  <c r="O7" i="2"/>
  <c r="O11" i="2"/>
  <c r="O15" i="2"/>
  <c r="O19" i="2"/>
  <c r="O23" i="2"/>
  <c r="O27" i="2"/>
  <c r="O31" i="2"/>
  <c r="O35" i="2"/>
  <c r="O39" i="2"/>
  <c r="O43" i="2"/>
  <c r="O47" i="2"/>
  <c r="O51" i="2"/>
  <c r="O55" i="2"/>
  <c r="O59" i="2"/>
  <c r="O63" i="2"/>
  <c r="O67" i="2"/>
  <c r="O71" i="2"/>
  <c r="O75" i="2"/>
  <c r="O79" i="2"/>
  <c r="O83" i="2"/>
  <c r="O87" i="2"/>
  <c r="O91" i="2"/>
  <c r="O95" i="2"/>
  <c r="O99" i="2"/>
  <c r="O103" i="2"/>
  <c r="O107" i="2"/>
  <c r="O111" i="2"/>
  <c r="O115" i="2"/>
  <c r="O119" i="2"/>
  <c r="O123" i="2"/>
  <c r="O127" i="2"/>
  <c r="O131" i="2"/>
  <c r="O135" i="2"/>
  <c r="O139" i="2"/>
  <c r="O143" i="2"/>
  <c r="O147" i="2"/>
  <c r="O151" i="2"/>
  <c r="O155" i="2"/>
  <c r="O159" i="2"/>
  <c r="O163" i="2"/>
  <c r="O167" i="2"/>
  <c r="O171" i="2"/>
  <c r="O175" i="2"/>
  <c r="O179" i="2"/>
  <c r="O183" i="2"/>
  <c r="O187" i="2"/>
  <c r="O191" i="2"/>
  <c r="O195" i="2"/>
  <c r="O199" i="2"/>
  <c r="O203" i="2"/>
  <c r="O207" i="2"/>
  <c r="O211" i="2"/>
  <c r="O8" i="2"/>
  <c r="O16" i="2"/>
  <c r="O24" i="2"/>
  <c r="O32" i="2"/>
  <c r="O40" i="2"/>
  <c r="O52" i="2"/>
  <c r="O56" i="2"/>
  <c r="O60" i="2"/>
  <c r="O68" i="2"/>
  <c r="O72" i="2"/>
  <c r="O76" i="2"/>
  <c r="O80" i="2"/>
  <c r="O84" i="2"/>
  <c r="O88" i="2"/>
  <c r="O92" i="2"/>
  <c r="O96" i="2"/>
  <c r="O100" i="2"/>
  <c r="O104" i="2"/>
  <c r="O108" i="2"/>
  <c r="O112" i="2"/>
  <c r="O116" i="2"/>
  <c r="O120" i="2"/>
  <c r="O124" i="2"/>
  <c r="O128" i="2"/>
  <c r="O132" i="2"/>
  <c r="O136" i="2"/>
  <c r="O140" i="2"/>
  <c r="O144" i="2"/>
  <c r="O148" i="2"/>
  <c r="O152" i="2"/>
  <c r="O156" i="2"/>
  <c r="O160" i="2"/>
  <c r="O164" i="2"/>
  <c r="O168" i="2"/>
  <c r="O172" i="2"/>
  <c r="O176" i="2"/>
  <c r="O180" i="2"/>
  <c r="O184" i="2"/>
  <c r="O188" i="2"/>
  <c r="O192" i="2"/>
  <c r="O196" i="2"/>
  <c r="O200" i="2"/>
  <c r="O204" i="2"/>
  <c r="O208" i="2"/>
  <c r="O212" i="2"/>
  <c r="O5" i="2"/>
  <c r="O9" i="2"/>
  <c r="O13" i="2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1" i="2"/>
  <c r="O85" i="2"/>
  <c r="O89" i="2"/>
  <c r="O93" i="2"/>
  <c r="O97" i="2"/>
  <c r="O101" i="2"/>
  <c r="O105" i="2"/>
  <c r="O109" i="2"/>
  <c r="O113" i="2"/>
  <c r="O117" i="2"/>
  <c r="O121" i="2"/>
  <c r="O125" i="2"/>
  <c r="O129" i="2"/>
  <c r="O133" i="2"/>
  <c r="O137" i="2"/>
  <c r="O141" i="2"/>
  <c r="O145" i="2"/>
  <c r="O149" i="2"/>
  <c r="O153" i="2"/>
  <c r="O157" i="2"/>
  <c r="O161" i="2"/>
  <c r="O165" i="2"/>
  <c r="O169" i="2"/>
  <c r="O173" i="2"/>
  <c r="O177" i="2"/>
  <c r="O181" i="2"/>
  <c r="O185" i="2"/>
  <c r="O189" i="2"/>
  <c r="O193" i="2"/>
  <c r="O197" i="2"/>
  <c r="O201" i="2"/>
  <c r="O205" i="2"/>
  <c r="O209" i="2"/>
  <c r="N117" i="2" l="1"/>
  <c r="P117" i="2"/>
  <c r="Q117" i="2" s="1"/>
  <c r="N101" i="2"/>
  <c r="P101" i="2"/>
  <c r="Q101" i="2" s="1"/>
  <c r="N21" i="2"/>
  <c r="P21" i="2"/>
  <c r="Q21" i="2" s="1"/>
  <c r="N128" i="2"/>
  <c r="P128" i="2"/>
  <c r="Q128" i="2" s="1"/>
  <c r="N88" i="2"/>
  <c r="P88" i="2"/>
  <c r="Q88" i="2" s="1"/>
  <c r="P205" i="2"/>
  <c r="Q205" i="2" s="1"/>
  <c r="N205" i="2"/>
  <c r="N189" i="2"/>
  <c r="P189" i="2"/>
  <c r="Q189" i="2" s="1"/>
  <c r="P173" i="2"/>
  <c r="Q173" i="2" s="1"/>
  <c r="N173" i="2"/>
  <c r="N157" i="2"/>
  <c r="P157" i="2"/>
  <c r="Q157" i="2" s="1"/>
  <c r="P141" i="2"/>
  <c r="Q141" i="2" s="1"/>
  <c r="N141" i="2"/>
  <c r="N85" i="2"/>
  <c r="P85" i="2"/>
  <c r="Q85" i="2" s="1"/>
  <c r="P45" i="2"/>
  <c r="Q45" i="2" s="1"/>
  <c r="N45" i="2"/>
  <c r="N5" i="2"/>
  <c r="P5" i="2"/>
  <c r="Q5" i="2" s="1"/>
  <c r="N200" i="2"/>
  <c r="P200" i="2"/>
  <c r="Q200" i="2" s="1"/>
  <c r="P184" i="2"/>
  <c r="Q184" i="2" s="1"/>
  <c r="N184" i="2"/>
  <c r="P168" i="2"/>
  <c r="Q168" i="2" s="1"/>
  <c r="N168" i="2"/>
  <c r="P152" i="2"/>
  <c r="Q152" i="2" s="1"/>
  <c r="N152" i="2"/>
  <c r="P112" i="2"/>
  <c r="Q112" i="2" s="1"/>
  <c r="N112" i="2"/>
  <c r="P109" i="2"/>
  <c r="Q109" i="2" s="1"/>
  <c r="N109" i="2"/>
  <c r="N69" i="2"/>
  <c r="P69" i="2"/>
  <c r="Q69" i="2" s="1"/>
  <c r="N96" i="2"/>
  <c r="P96" i="2"/>
  <c r="Q96" i="2" s="1"/>
  <c r="P80" i="2"/>
  <c r="Q80" i="2" s="1"/>
  <c r="N80" i="2"/>
  <c r="N197" i="2"/>
  <c r="P197" i="2"/>
  <c r="Q197" i="2" s="1"/>
  <c r="N181" i="2"/>
  <c r="P181" i="2"/>
  <c r="Q181" i="2" s="1"/>
  <c r="N165" i="2"/>
  <c r="P165" i="2"/>
  <c r="Q165" i="2" s="1"/>
  <c r="N149" i="2"/>
  <c r="P149" i="2"/>
  <c r="Q149" i="2" s="1"/>
  <c r="N133" i="2"/>
  <c r="P133" i="2"/>
  <c r="Q133" i="2" s="1"/>
  <c r="N53" i="2"/>
  <c r="P53" i="2"/>
  <c r="Q53" i="2" s="1"/>
  <c r="N37" i="2"/>
  <c r="P37" i="2"/>
  <c r="Q37" i="2" s="1"/>
  <c r="N208" i="2"/>
  <c r="P208" i="2"/>
  <c r="Q208" i="2" s="1"/>
  <c r="P192" i="2"/>
  <c r="Q192" i="2" s="1"/>
  <c r="N192" i="2"/>
  <c r="P176" i="2"/>
  <c r="Q176" i="2" s="1"/>
  <c r="N176" i="2"/>
  <c r="P160" i="2"/>
  <c r="Q160" i="2" s="1"/>
  <c r="N160" i="2"/>
  <c r="N144" i="2"/>
  <c r="P144" i="2"/>
  <c r="Q144" i="2" s="1"/>
  <c r="N52" i="2"/>
  <c r="P52" i="2"/>
  <c r="Q52" i="2" s="1"/>
  <c r="N16" i="2"/>
  <c r="P16" i="2"/>
  <c r="Q16" i="2" s="1"/>
  <c r="P203" i="2"/>
  <c r="Q203" i="2" s="1"/>
  <c r="N203" i="2"/>
  <c r="P195" i="2"/>
  <c r="Q195" i="2" s="1"/>
  <c r="N195" i="2"/>
  <c r="P179" i="2"/>
  <c r="Q179" i="2" s="1"/>
  <c r="N179" i="2"/>
  <c r="P171" i="2"/>
  <c r="Q171" i="2" s="1"/>
  <c r="N171" i="2"/>
  <c r="P155" i="2"/>
  <c r="Q155" i="2" s="1"/>
  <c r="N155" i="2"/>
  <c r="P139" i="2"/>
  <c r="Q139" i="2" s="1"/>
  <c r="N139" i="2"/>
  <c r="P123" i="2"/>
  <c r="Q123" i="2" s="1"/>
  <c r="N123" i="2"/>
  <c r="P107" i="2"/>
  <c r="Q107" i="2" s="1"/>
  <c r="N107" i="2"/>
  <c r="P91" i="2"/>
  <c r="Q91" i="2" s="1"/>
  <c r="N91" i="2"/>
  <c r="P75" i="2"/>
  <c r="Q75" i="2" s="1"/>
  <c r="N75" i="2"/>
  <c r="N59" i="2"/>
  <c r="P59" i="2"/>
  <c r="Q59" i="2" s="1"/>
  <c r="N210" i="2"/>
  <c r="P210" i="2"/>
  <c r="Q210" i="2" s="1"/>
  <c r="P194" i="2"/>
  <c r="Q194" i="2" s="1"/>
  <c r="N194" i="2"/>
  <c r="P186" i="2"/>
  <c r="Q186" i="2" s="1"/>
  <c r="N186" i="2"/>
  <c r="N170" i="2"/>
  <c r="P170" i="2"/>
  <c r="Q170" i="2" s="1"/>
  <c r="N162" i="2"/>
  <c r="P162" i="2"/>
  <c r="Q162" i="2" s="1"/>
  <c r="P154" i="2"/>
  <c r="Q154" i="2" s="1"/>
  <c r="N154" i="2"/>
  <c r="N146" i="2"/>
  <c r="P146" i="2"/>
  <c r="Q146" i="2" s="1"/>
  <c r="P130" i="2"/>
  <c r="Q130" i="2" s="1"/>
  <c r="N130" i="2"/>
  <c r="N122" i="2"/>
  <c r="P122" i="2"/>
  <c r="Q122" i="2" s="1"/>
  <c r="P114" i="2"/>
  <c r="Q114" i="2" s="1"/>
  <c r="N114" i="2"/>
  <c r="N106" i="2"/>
  <c r="P106" i="2"/>
  <c r="Q106" i="2" s="1"/>
  <c r="N98" i="2"/>
  <c r="P98" i="2"/>
  <c r="Q98" i="2" s="1"/>
  <c r="P90" i="2"/>
  <c r="Q90" i="2" s="1"/>
  <c r="N90" i="2"/>
  <c r="N82" i="2"/>
  <c r="P82" i="2"/>
  <c r="Q82" i="2" s="1"/>
  <c r="N74" i="2"/>
  <c r="P74" i="2"/>
  <c r="Q74" i="2" s="1"/>
  <c r="P66" i="2"/>
  <c r="Q66" i="2" s="1"/>
  <c r="N66" i="2"/>
  <c r="P58" i="2"/>
  <c r="Q58" i="2" s="1"/>
  <c r="N58" i="2"/>
  <c r="P50" i="2"/>
  <c r="Q50" i="2" s="1"/>
  <c r="N50" i="2"/>
  <c r="N42" i="2"/>
  <c r="P42" i="2"/>
  <c r="Q42" i="2" s="1"/>
  <c r="N34" i="2"/>
  <c r="P34" i="2"/>
  <c r="Q34" i="2" s="1"/>
  <c r="P26" i="2"/>
  <c r="Q26" i="2" s="1"/>
  <c r="N26" i="2"/>
  <c r="N18" i="2"/>
  <c r="P18" i="2"/>
  <c r="Q18" i="2" s="1"/>
  <c r="N10" i="2"/>
  <c r="P10" i="2"/>
  <c r="Q10" i="2" s="1"/>
  <c r="P64" i="2"/>
  <c r="Q64" i="2" s="1"/>
  <c r="N64" i="2"/>
  <c r="P44" i="2"/>
  <c r="Q44" i="2" s="1"/>
  <c r="N44" i="2"/>
  <c r="N125" i="2"/>
  <c r="P125" i="2"/>
  <c r="Q125" i="2" s="1"/>
  <c r="N93" i="2"/>
  <c r="P93" i="2"/>
  <c r="Q93" i="2" s="1"/>
  <c r="P77" i="2"/>
  <c r="Q77" i="2" s="1"/>
  <c r="N77" i="2"/>
  <c r="N61" i="2"/>
  <c r="P61" i="2"/>
  <c r="Q61" i="2" s="1"/>
  <c r="N29" i="2"/>
  <c r="P29" i="2"/>
  <c r="Q29" i="2" s="1"/>
  <c r="P13" i="2"/>
  <c r="Q13" i="2" s="1"/>
  <c r="N13" i="2"/>
  <c r="N136" i="2"/>
  <c r="P136" i="2"/>
  <c r="Q136" i="2" s="1"/>
  <c r="P120" i="2"/>
  <c r="Q120" i="2" s="1"/>
  <c r="N120" i="2"/>
  <c r="P104" i="2"/>
  <c r="Q104" i="2" s="1"/>
  <c r="N104" i="2"/>
  <c r="N72" i="2"/>
  <c r="P72" i="2"/>
  <c r="Q72" i="2" s="1"/>
  <c r="P131" i="2"/>
  <c r="Q131" i="2" s="1"/>
  <c r="N131" i="2"/>
  <c r="N115" i="2"/>
  <c r="P115" i="2"/>
  <c r="Q115" i="2" s="1"/>
  <c r="N99" i="2"/>
  <c r="P99" i="2"/>
  <c r="Q99" i="2" s="1"/>
  <c r="P83" i="2"/>
  <c r="Q83" i="2" s="1"/>
  <c r="N83" i="2"/>
  <c r="P67" i="2"/>
  <c r="Q67" i="2" s="1"/>
  <c r="N67" i="2"/>
  <c r="N51" i="2"/>
  <c r="P51" i="2"/>
  <c r="Q51" i="2" s="1"/>
  <c r="N35" i="2"/>
  <c r="P35" i="2"/>
  <c r="Q35" i="2" s="1"/>
  <c r="P19" i="2"/>
  <c r="Q19" i="2" s="1"/>
  <c r="N19" i="2"/>
  <c r="P12" i="2"/>
  <c r="Q12" i="2" s="1"/>
  <c r="N12" i="2"/>
  <c r="N201" i="2"/>
  <c r="P201" i="2"/>
  <c r="Q201" i="2" s="1"/>
  <c r="N185" i="2"/>
  <c r="P185" i="2"/>
  <c r="Q185" i="2" s="1"/>
  <c r="N177" i="2"/>
  <c r="P177" i="2"/>
  <c r="Q177" i="2" s="1"/>
  <c r="N169" i="2"/>
  <c r="P169" i="2"/>
  <c r="Q169" i="2" s="1"/>
  <c r="N137" i="2"/>
  <c r="P137" i="2"/>
  <c r="Q137" i="2" s="1"/>
  <c r="N129" i="2"/>
  <c r="P129" i="2"/>
  <c r="Q129" i="2" s="1"/>
  <c r="N121" i="2"/>
  <c r="P121" i="2"/>
  <c r="Q121" i="2" s="1"/>
  <c r="N113" i="2"/>
  <c r="P113" i="2"/>
  <c r="Q113" i="2" s="1"/>
  <c r="N97" i="2"/>
  <c r="P97" i="2"/>
  <c r="Q97" i="2" s="1"/>
  <c r="N81" i="2"/>
  <c r="P81" i="2"/>
  <c r="Q81" i="2" s="1"/>
  <c r="N73" i="2"/>
  <c r="P73" i="2"/>
  <c r="Q73" i="2" s="1"/>
  <c r="N65" i="2"/>
  <c r="P65" i="2"/>
  <c r="Q65" i="2" s="1"/>
  <c r="N41" i="2"/>
  <c r="P41" i="2"/>
  <c r="Q41" i="2" s="1"/>
  <c r="N25" i="2"/>
  <c r="P25" i="2"/>
  <c r="Q25" i="2" s="1"/>
  <c r="N17" i="2"/>
  <c r="P17" i="2"/>
  <c r="Q17" i="2" s="1"/>
  <c r="N9" i="2"/>
  <c r="P9" i="2"/>
  <c r="Q9" i="2" s="1"/>
  <c r="P212" i="2"/>
  <c r="Q212" i="2" s="1"/>
  <c r="N212" i="2"/>
  <c r="P204" i="2"/>
  <c r="Q204" i="2" s="1"/>
  <c r="N204" i="2"/>
  <c r="P180" i="2"/>
  <c r="Q180" i="2" s="1"/>
  <c r="N180" i="2"/>
  <c r="N172" i="2"/>
  <c r="P172" i="2"/>
  <c r="Q172" i="2" s="1"/>
  <c r="P156" i="2"/>
  <c r="Q156" i="2" s="1"/>
  <c r="N156" i="2"/>
  <c r="P148" i="2"/>
  <c r="Q148" i="2" s="1"/>
  <c r="N148" i="2"/>
  <c r="P140" i="2"/>
  <c r="Q140" i="2" s="1"/>
  <c r="N140" i="2"/>
  <c r="N132" i="2"/>
  <c r="P132" i="2"/>
  <c r="Q132" i="2" s="1"/>
  <c r="P124" i="2"/>
  <c r="Q124" i="2" s="1"/>
  <c r="N124" i="2"/>
  <c r="N116" i="2"/>
  <c r="P116" i="2"/>
  <c r="Q116" i="2" s="1"/>
  <c r="N100" i="2"/>
  <c r="P100" i="2"/>
  <c r="Q100" i="2" s="1"/>
  <c r="P92" i="2"/>
  <c r="Q92" i="2" s="1"/>
  <c r="N92" i="2"/>
  <c r="P84" i="2"/>
  <c r="Q84" i="2" s="1"/>
  <c r="N84" i="2"/>
  <c r="P76" i="2"/>
  <c r="Q76" i="2" s="1"/>
  <c r="N76" i="2"/>
  <c r="P68" i="2"/>
  <c r="Q68" i="2" s="1"/>
  <c r="N68" i="2"/>
  <c r="N56" i="2"/>
  <c r="P56" i="2"/>
  <c r="Q56" i="2" s="1"/>
  <c r="N24" i="2"/>
  <c r="P24" i="2"/>
  <c r="Q24" i="2" s="1"/>
  <c r="P8" i="2"/>
  <c r="Q8" i="2" s="1"/>
  <c r="N8" i="2"/>
  <c r="P206" i="2"/>
  <c r="Q206" i="2" s="1"/>
  <c r="N206" i="2"/>
  <c r="N198" i="2"/>
  <c r="P198" i="2"/>
  <c r="Q198" i="2" s="1"/>
  <c r="P190" i="2"/>
  <c r="Q190" i="2" s="1"/>
  <c r="N190" i="2"/>
  <c r="N182" i="2"/>
  <c r="P182" i="2"/>
  <c r="Q182" i="2" s="1"/>
  <c r="P174" i="2"/>
  <c r="Q174" i="2" s="1"/>
  <c r="N174" i="2"/>
  <c r="P166" i="2"/>
  <c r="Q166" i="2" s="1"/>
  <c r="N166" i="2"/>
  <c r="P158" i="2"/>
  <c r="Q158" i="2" s="1"/>
  <c r="N158" i="2"/>
  <c r="P150" i="2"/>
  <c r="Q150" i="2" s="1"/>
  <c r="N150" i="2"/>
  <c r="P142" i="2"/>
  <c r="Q142" i="2" s="1"/>
  <c r="N142" i="2"/>
  <c r="N134" i="2"/>
  <c r="P134" i="2"/>
  <c r="Q134" i="2" s="1"/>
  <c r="P126" i="2"/>
  <c r="Q126" i="2" s="1"/>
  <c r="N126" i="2"/>
  <c r="N118" i="2"/>
  <c r="P118" i="2"/>
  <c r="Q118" i="2" s="1"/>
  <c r="N110" i="2"/>
  <c r="P110" i="2"/>
  <c r="Q110" i="2" s="1"/>
  <c r="P102" i="2"/>
  <c r="Q102" i="2" s="1"/>
  <c r="N102" i="2"/>
  <c r="P94" i="2"/>
  <c r="Q94" i="2" s="1"/>
  <c r="N94" i="2"/>
  <c r="P86" i="2"/>
  <c r="Q86" i="2" s="1"/>
  <c r="N86" i="2"/>
  <c r="N78" i="2"/>
  <c r="P78" i="2"/>
  <c r="Q78" i="2" s="1"/>
  <c r="N70" i="2"/>
  <c r="P70" i="2"/>
  <c r="Q70" i="2" s="1"/>
  <c r="N62" i="2"/>
  <c r="P62" i="2"/>
  <c r="Q62" i="2" s="1"/>
  <c r="N54" i="2"/>
  <c r="P54" i="2"/>
  <c r="Q54" i="2" s="1"/>
  <c r="N46" i="2"/>
  <c r="P46" i="2"/>
  <c r="Q46" i="2" s="1"/>
  <c r="P38" i="2"/>
  <c r="Q38" i="2" s="1"/>
  <c r="N38" i="2"/>
  <c r="N30" i="2"/>
  <c r="P30" i="2"/>
  <c r="Q30" i="2" s="1"/>
  <c r="P22" i="2"/>
  <c r="Q22" i="2" s="1"/>
  <c r="N22" i="2"/>
  <c r="N14" i="2"/>
  <c r="P14" i="2"/>
  <c r="Q14" i="2" s="1"/>
  <c r="N6" i="2"/>
  <c r="P6" i="2"/>
  <c r="Q6" i="2" s="1"/>
  <c r="N48" i="2"/>
  <c r="P48" i="2"/>
  <c r="Q48" i="2" s="1"/>
  <c r="N36" i="2"/>
  <c r="P36" i="2"/>
  <c r="Q36" i="2" s="1"/>
  <c r="P20" i="2"/>
  <c r="Q20" i="2" s="1"/>
  <c r="N20" i="2"/>
  <c r="N4" i="2"/>
  <c r="P4" i="2"/>
  <c r="Q4" i="2" s="1"/>
  <c r="P60" i="2"/>
  <c r="Q60" i="2" s="1"/>
  <c r="N60" i="2"/>
  <c r="P32" i="2"/>
  <c r="Q32" i="2" s="1"/>
  <c r="N32" i="2"/>
  <c r="P211" i="2"/>
  <c r="Q211" i="2" s="1"/>
  <c r="N211" i="2"/>
  <c r="N187" i="2"/>
  <c r="P187" i="2"/>
  <c r="Q187" i="2" s="1"/>
  <c r="N163" i="2"/>
  <c r="P163" i="2"/>
  <c r="Q163" i="2" s="1"/>
  <c r="P147" i="2"/>
  <c r="Q147" i="2" s="1"/>
  <c r="N147" i="2"/>
  <c r="P43" i="2"/>
  <c r="Q43" i="2" s="1"/>
  <c r="N43" i="2"/>
  <c r="P27" i="2"/>
  <c r="Q27" i="2" s="1"/>
  <c r="N27" i="2"/>
  <c r="P11" i="2"/>
  <c r="Q11" i="2" s="1"/>
  <c r="N11" i="2"/>
  <c r="N202" i="2"/>
  <c r="P202" i="2"/>
  <c r="Q202" i="2" s="1"/>
  <c r="P178" i="2"/>
  <c r="Q178" i="2" s="1"/>
  <c r="N178" i="2"/>
  <c r="N138" i="2"/>
  <c r="P138" i="2"/>
  <c r="Q138" i="2" s="1"/>
  <c r="P28" i="2"/>
  <c r="Q28" i="2" s="1"/>
  <c r="N28" i="2"/>
  <c r="N209" i="2"/>
  <c r="P209" i="2"/>
  <c r="Q209" i="2" s="1"/>
  <c r="N193" i="2"/>
  <c r="P193" i="2"/>
  <c r="Q193" i="2" s="1"/>
  <c r="N161" i="2"/>
  <c r="P161" i="2"/>
  <c r="Q161" i="2" s="1"/>
  <c r="N153" i="2"/>
  <c r="P153" i="2"/>
  <c r="Q153" i="2" s="1"/>
  <c r="N145" i="2"/>
  <c r="P145" i="2"/>
  <c r="Q145" i="2" s="1"/>
  <c r="N105" i="2"/>
  <c r="P105" i="2"/>
  <c r="Q105" i="2" s="1"/>
  <c r="N89" i="2"/>
  <c r="P89" i="2"/>
  <c r="Q89" i="2" s="1"/>
  <c r="N57" i="2"/>
  <c r="P57" i="2"/>
  <c r="Q57" i="2" s="1"/>
  <c r="N49" i="2"/>
  <c r="P49" i="2"/>
  <c r="Q49" i="2" s="1"/>
  <c r="N33" i="2"/>
  <c r="P33" i="2"/>
  <c r="Q33" i="2" s="1"/>
  <c r="P196" i="2"/>
  <c r="Q196" i="2" s="1"/>
  <c r="N196" i="2"/>
  <c r="P188" i="2"/>
  <c r="Q188" i="2" s="1"/>
  <c r="N188" i="2"/>
  <c r="N164" i="2"/>
  <c r="P164" i="2"/>
  <c r="Q164" i="2" s="1"/>
  <c r="P108" i="2"/>
  <c r="Q108" i="2" s="1"/>
  <c r="N108" i="2"/>
  <c r="P40" i="2"/>
  <c r="Q40" i="2" s="1"/>
  <c r="N40" i="2"/>
  <c r="P207" i="2"/>
  <c r="Q207" i="2" s="1"/>
  <c r="N207" i="2"/>
  <c r="N199" i="2"/>
  <c r="P199" i="2"/>
  <c r="Q199" i="2" s="1"/>
  <c r="N191" i="2"/>
  <c r="P191" i="2"/>
  <c r="Q191" i="2" s="1"/>
  <c r="N183" i="2"/>
  <c r="P183" i="2"/>
  <c r="Q183" i="2" s="1"/>
  <c r="P175" i="2"/>
  <c r="Q175" i="2" s="1"/>
  <c r="N175" i="2"/>
  <c r="N167" i="2"/>
  <c r="P167" i="2"/>
  <c r="Q167" i="2" s="1"/>
  <c r="P159" i="2"/>
  <c r="Q159" i="2" s="1"/>
  <c r="N159" i="2"/>
  <c r="N151" i="2"/>
  <c r="P151" i="2"/>
  <c r="Q151" i="2" s="1"/>
  <c r="P143" i="2"/>
  <c r="Q143" i="2" s="1"/>
  <c r="N143" i="2"/>
  <c r="N135" i="2"/>
  <c r="P135" i="2"/>
  <c r="Q135" i="2" s="1"/>
  <c r="N127" i="2"/>
  <c r="P127" i="2"/>
  <c r="Q127" i="2" s="1"/>
  <c r="P119" i="2"/>
  <c r="Q119" i="2" s="1"/>
  <c r="N119" i="2"/>
  <c r="P111" i="2"/>
  <c r="Q111" i="2" s="1"/>
  <c r="N111" i="2"/>
  <c r="P103" i="2"/>
  <c r="Q103" i="2" s="1"/>
  <c r="N103" i="2"/>
  <c r="P95" i="2"/>
  <c r="Q95" i="2" s="1"/>
  <c r="N95" i="2"/>
  <c r="P87" i="2"/>
  <c r="Q87" i="2" s="1"/>
  <c r="N87" i="2"/>
  <c r="P79" i="2"/>
  <c r="Q79" i="2" s="1"/>
  <c r="N79" i="2"/>
  <c r="P71" i="2"/>
  <c r="Q71" i="2" s="1"/>
  <c r="N71" i="2"/>
  <c r="N63" i="2"/>
  <c r="P63" i="2"/>
  <c r="Q63" i="2" s="1"/>
  <c r="P55" i="2"/>
  <c r="Q55" i="2" s="1"/>
  <c r="N55" i="2"/>
  <c r="P47" i="2"/>
  <c r="Q47" i="2" s="1"/>
  <c r="N47" i="2"/>
  <c r="P39" i="2"/>
  <c r="Q39" i="2" s="1"/>
  <c r="N39" i="2"/>
  <c r="P31" i="2"/>
  <c r="Q31" i="2" s="1"/>
  <c r="N31" i="2"/>
  <c r="P23" i="2"/>
  <c r="Q23" i="2" s="1"/>
  <c r="N23" i="2"/>
  <c r="N15" i="2"/>
  <c r="P15" i="2"/>
  <c r="Q15" i="2" s="1"/>
  <c r="P7" i="2"/>
  <c r="Q7" i="2" s="1"/>
  <c r="N7" i="2"/>
  <c r="W127" i="2" l="1"/>
  <c r="V127" i="2"/>
  <c r="U127" i="2"/>
  <c r="V191" i="2"/>
  <c r="W191" i="2"/>
  <c r="U191" i="2"/>
  <c r="W57" i="2"/>
  <c r="V57" i="2"/>
  <c r="U57" i="2"/>
  <c r="W153" i="2"/>
  <c r="V153" i="2"/>
  <c r="U153" i="2"/>
  <c r="W163" i="2"/>
  <c r="V163" i="2"/>
  <c r="U163" i="2"/>
  <c r="V14" i="2"/>
  <c r="W14" i="2"/>
  <c r="U14" i="2"/>
  <c r="W46" i="2"/>
  <c r="V46" i="2"/>
  <c r="U46" i="2"/>
  <c r="V78" i="2"/>
  <c r="W78" i="2"/>
  <c r="U78" i="2"/>
  <c r="V24" i="2"/>
  <c r="U24" i="2"/>
  <c r="W24" i="2"/>
  <c r="W41" i="2"/>
  <c r="V41" i="2"/>
  <c r="U41" i="2"/>
  <c r="W73" i="2"/>
  <c r="V73" i="2"/>
  <c r="U73" i="2"/>
  <c r="W121" i="2"/>
  <c r="V121" i="2"/>
  <c r="U121" i="2"/>
  <c r="W137" i="2"/>
  <c r="V137" i="2"/>
  <c r="U137" i="2"/>
  <c r="W201" i="2"/>
  <c r="V201" i="2"/>
  <c r="U201" i="2"/>
  <c r="V72" i="2"/>
  <c r="U72" i="2"/>
  <c r="W72" i="2"/>
  <c r="W93" i="2"/>
  <c r="U93" i="2"/>
  <c r="V93" i="2"/>
  <c r="W74" i="2"/>
  <c r="U74" i="2"/>
  <c r="V74" i="2"/>
  <c r="V122" i="2"/>
  <c r="U122" i="2"/>
  <c r="W122" i="2"/>
  <c r="W162" i="2"/>
  <c r="U162" i="2"/>
  <c r="V162" i="2"/>
  <c r="V16" i="2"/>
  <c r="W16" i="2"/>
  <c r="U16" i="2"/>
  <c r="W53" i="2"/>
  <c r="U53" i="2"/>
  <c r="V53" i="2"/>
  <c r="W181" i="2"/>
  <c r="V181" i="2"/>
  <c r="U181" i="2"/>
  <c r="U200" i="2"/>
  <c r="W200" i="2"/>
  <c r="V200" i="2"/>
  <c r="W101" i="2"/>
  <c r="V101" i="2"/>
  <c r="U101" i="2"/>
  <c r="V47" i="2"/>
  <c r="U47" i="2"/>
  <c r="W47" i="2"/>
  <c r="V79" i="2"/>
  <c r="U79" i="2"/>
  <c r="W79" i="2"/>
  <c r="V111" i="2"/>
  <c r="U111" i="2"/>
  <c r="W111" i="2"/>
  <c r="V143" i="2"/>
  <c r="U143" i="2"/>
  <c r="W143" i="2"/>
  <c r="W175" i="2"/>
  <c r="V175" i="2"/>
  <c r="U175" i="2"/>
  <c r="V207" i="2"/>
  <c r="W207" i="2"/>
  <c r="U207" i="2"/>
  <c r="U188" i="2"/>
  <c r="V188" i="2"/>
  <c r="W188" i="2"/>
  <c r="U178" i="2"/>
  <c r="W178" i="2"/>
  <c r="V178" i="2"/>
  <c r="W43" i="2"/>
  <c r="V43" i="2"/>
  <c r="U43" i="2"/>
  <c r="W211" i="2"/>
  <c r="V211" i="2"/>
  <c r="U211" i="2"/>
  <c r="V20" i="2"/>
  <c r="U20" i="2"/>
  <c r="W20" i="2"/>
  <c r="W94" i="2"/>
  <c r="V94" i="2"/>
  <c r="U94" i="2"/>
  <c r="W142" i="2"/>
  <c r="V142" i="2"/>
  <c r="U142" i="2"/>
  <c r="W174" i="2"/>
  <c r="V174" i="2"/>
  <c r="U174" i="2"/>
  <c r="W190" i="2"/>
  <c r="V190" i="2"/>
  <c r="U190" i="2"/>
  <c r="V68" i="2"/>
  <c r="U68" i="2"/>
  <c r="W68" i="2"/>
  <c r="V124" i="2"/>
  <c r="U124" i="2"/>
  <c r="W124" i="2"/>
  <c r="U156" i="2"/>
  <c r="W156" i="2"/>
  <c r="V156" i="2"/>
  <c r="U180" i="2"/>
  <c r="V180" i="2"/>
  <c r="W180" i="2"/>
  <c r="U212" i="2"/>
  <c r="V212" i="2"/>
  <c r="W212" i="2"/>
  <c r="W19" i="2"/>
  <c r="V19" i="2"/>
  <c r="U19" i="2"/>
  <c r="W83" i="2"/>
  <c r="V83" i="2"/>
  <c r="U83" i="2"/>
  <c r="V120" i="2"/>
  <c r="U120" i="2"/>
  <c r="W120" i="2"/>
  <c r="W13" i="2"/>
  <c r="V13" i="2"/>
  <c r="U13" i="2"/>
  <c r="V44" i="2"/>
  <c r="U44" i="2"/>
  <c r="W44" i="2"/>
  <c r="V26" i="2"/>
  <c r="U26" i="2"/>
  <c r="W26" i="2"/>
  <c r="V58" i="2"/>
  <c r="U58" i="2"/>
  <c r="W58" i="2"/>
  <c r="V90" i="2"/>
  <c r="U90" i="2"/>
  <c r="W90" i="2"/>
  <c r="V186" i="2"/>
  <c r="W186" i="2"/>
  <c r="U186" i="2"/>
  <c r="W75" i="2"/>
  <c r="V75" i="2"/>
  <c r="U75" i="2"/>
  <c r="W107" i="2"/>
  <c r="V107" i="2"/>
  <c r="U107" i="2"/>
  <c r="W139" i="2"/>
  <c r="V139" i="2"/>
  <c r="U139" i="2"/>
  <c r="W171" i="2"/>
  <c r="V171" i="2"/>
  <c r="U171" i="2"/>
  <c r="W195" i="2"/>
  <c r="V195" i="2"/>
  <c r="U195" i="2"/>
  <c r="W176" i="2"/>
  <c r="U176" i="2"/>
  <c r="V176" i="2"/>
  <c r="V80" i="2"/>
  <c r="W80" i="2"/>
  <c r="U80" i="2"/>
  <c r="V112" i="2"/>
  <c r="W112" i="2"/>
  <c r="U112" i="2"/>
  <c r="U168" i="2"/>
  <c r="W168" i="2"/>
  <c r="V168" i="2"/>
  <c r="W45" i="2"/>
  <c r="U45" i="2"/>
  <c r="V45" i="2"/>
  <c r="W141" i="2"/>
  <c r="V141" i="2"/>
  <c r="U141" i="2"/>
  <c r="W173" i="2"/>
  <c r="V173" i="2"/>
  <c r="U173" i="2"/>
  <c r="W205" i="2"/>
  <c r="V205" i="2"/>
  <c r="U205" i="2"/>
  <c r="W135" i="2"/>
  <c r="U135" i="2"/>
  <c r="V135" i="2"/>
  <c r="W151" i="2"/>
  <c r="U151" i="2"/>
  <c r="V151" i="2"/>
  <c r="W167" i="2"/>
  <c r="U167" i="2"/>
  <c r="V167" i="2"/>
  <c r="W183" i="2"/>
  <c r="U183" i="2"/>
  <c r="V183" i="2"/>
  <c r="U199" i="2"/>
  <c r="W199" i="2"/>
  <c r="V199" i="2"/>
  <c r="U164" i="2"/>
  <c r="V164" i="2"/>
  <c r="W164" i="2"/>
  <c r="W49" i="2"/>
  <c r="V49" i="2"/>
  <c r="U49" i="2"/>
  <c r="W89" i="2"/>
  <c r="V89" i="2"/>
  <c r="U89" i="2"/>
  <c r="W145" i="2"/>
  <c r="V145" i="2"/>
  <c r="U145" i="2"/>
  <c r="W161" i="2"/>
  <c r="V161" i="2"/>
  <c r="U161" i="2"/>
  <c r="W209" i="2"/>
  <c r="V209" i="2"/>
  <c r="U209" i="2"/>
  <c r="V138" i="2"/>
  <c r="W138" i="2"/>
  <c r="U138" i="2"/>
  <c r="V202" i="2"/>
  <c r="U202" i="2"/>
  <c r="W202" i="2"/>
  <c r="W187" i="2"/>
  <c r="V187" i="2"/>
  <c r="U187" i="2"/>
  <c r="V4" i="2"/>
  <c r="U4" i="2"/>
  <c r="W4" i="2"/>
  <c r="V36" i="2"/>
  <c r="U36" i="2"/>
  <c r="W36" i="2"/>
  <c r="W6" i="2"/>
  <c r="V6" i="2"/>
  <c r="U6" i="2"/>
  <c r="W54" i="2"/>
  <c r="V54" i="2"/>
  <c r="U54" i="2"/>
  <c r="W70" i="2"/>
  <c r="V70" i="2"/>
  <c r="U70" i="2"/>
  <c r="W118" i="2"/>
  <c r="V118" i="2"/>
  <c r="U118" i="2"/>
  <c r="W134" i="2"/>
  <c r="V134" i="2"/>
  <c r="U134" i="2"/>
  <c r="W182" i="2"/>
  <c r="V182" i="2"/>
  <c r="U182" i="2"/>
  <c r="W198" i="2"/>
  <c r="V198" i="2"/>
  <c r="U198" i="2"/>
  <c r="V56" i="2"/>
  <c r="U56" i="2"/>
  <c r="W56" i="2"/>
  <c r="V116" i="2"/>
  <c r="U116" i="2"/>
  <c r="W116" i="2"/>
  <c r="U132" i="2"/>
  <c r="V132" i="2"/>
  <c r="W132" i="2"/>
  <c r="U172" i="2"/>
  <c r="W172" i="2"/>
  <c r="V172" i="2"/>
  <c r="W9" i="2"/>
  <c r="V9" i="2"/>
  <c r="U9" i="2"/>
  <c r="W25" i="2"/>
  <c r="V25" i="2"/>
  <c r="U25" i="2"/>
  <c r="W65" i="2"/>
  <c r="V65" i="2"/>
  <c r="U65" i="2"/>
  <c r="W81" i="2"/>
  <c r="V81" i="2"/>
  <c r="U81" i="2"/>
  <c r="W113" i="2"/>
  <c r="V113" i="2"/>
  <c r="U113" i="2"/>
  <c r="W129" i="2"/>
  <c r="V129" i="2"/>
  <c r="U129" i="2"/>
  <c r="W169" i="2"/>
  <c r="V169" i="2"/>
  <c r="U169" i="2"/>
  <c r="W185" i="2"/>
  <c r="V185" i="2"/>
  <c r="U185" i="2"/>
  <c r="V35" i="2"/>
  <c r="W35" i="2"/>
  <c r="U35" i="2"/>
  <c r="V99" i="2"/>
  <c r="W99" i="2"/>
  <c r="U99" i="2"/>
  <c r="U136" i="2"/>
  <c r="W136" i="2"/>
  <c r="V136" i="2"/>
  <c r="W29" i="2"/>
  <c r="U29" i="2"/>
  <c r="V29" i="2"/>
  <c r="W125" i="2"/>
  <c r="U125" i="2"/>
  <c r="V125" i="2"/>
  <c r="W18" i="2"/>
  <c r="U18" i="2"/>
  <c r="V18" i="2"/>
  <c r="W34" i="2"/>
  <c r="V34" i="2"/>
  <c r="U34" i="2"/>
  <c r="W82" i="2"/>
  <c r="U82" i="2"/>
  <c r="V82" i="2"/>
  <c r="W98" i="2"/>
  <c r="V98" i="2"/>
  <c r="U98" i="2"/>
  <c r="V170" i="2"/>
  <c r="W170" i="2"/>
  <c r="U170" i="2"/>
  <c r="W59" i="2"/>
  <c r="V59" i="2"/>
  <c r="U59" i="2"/>
  <c r="V52" i="2"/>
  <c r="U52" i="2"/>
  <c r="W52" i="2"/>
  <c r="W37" i="2"/>
  <c r="V37" i="2"/>
  <c r="U37" i="2"/>
  <c r="W133" i="2"/>
  <c r="V133" i="2"/>
  <c r="U133" i="2"/>
  <c r="W165" i="2"/>
  <c r="V165" i="2"/>
  <c r="U165" i="2"/>
  <c r="W197" i="2"/>
  <c r="V197" i="2"/>
  <c r="U197" i="2"/>
  <c r="V96" i="2"/>
  <c r="W96" i="2"/>
  <c r="U96" i="2"/>
  <c r="W5" i="2"/>
  <c r="V5" i="2"/>
  <c r="U5" i="2"/>
  <c r="W85" i="2"/>
  <c r="V85" i="2"/>
  <c r="U85" i="2"/>
  <c r="W157" i="2"/>
  <c r="V157" i="2"/>
  <c r="U157" i="2"/>
  <c r="W189" i="2"/>
  <c r="V189" i="2"/>
  <c r="U189" i="2"/>
  <c r="V88" i="2"/>
  <c r="U88" i="2"/>
  <c r="W88" i="2"/>
  <c r="W21" i="2"/>
  <c r="V21" i="2"/>
  <c r="U21" i="2"/>
  <c r="W117" i="2"/>
  <c r="U117" i="2"/>
  <c r="V117" i="2"/>
  <c r="V15" i="2"/>
  <c r="U15" i="2"/>
  <c r="W15" i="2"/>
  <c r="W63" i="2"/>
  <c r="V63" i="2"/>
  <c r="U63" i="2"/>
  <c r="W33" i="2"/>
  <c r="V33" i="2"/>
  <c r="U33" i="2"/>
  <c r="W105" i="2"/>
  <c r="V105" i="2"/>
  <c r="U105" i="2"/>
  <c r="W193" i="2"/>
  <c r="V193" i="2"/>
  <c r="U193" i="2"/>
  <c r="V48" i="2"/>
  <c r="W48" i="2"/>
  <c r="U48" i="2"/>
  <c r="W30" i="2"/>
  <c r="V30" i="2"/>
  <c r="U30" i="2"/>
  <c r="W62" i="2"/>
  <c r="V62" i="2"/>
  <c r="U62" i="2"/>
  <c r="W110" i="2"/>
  <c r="V110" i="2"/>
  <c r="U110" i="2"/>
  <c r="V100" i="2"/>
  <c r="U100" i="2"/>
  <c r="W100" i="2"/>
  <c r="W17" i="2"/>
  <c r="V17" i="2"/>
  <c r="U17" i="2"/>
  <c r="W97" i="2"/>
  <c r="V97" i="2"/>
  <c r="U97" i="2"/>
  <c r="W177" i="2"/>
  <c r="V177" i="2"/>
  <c r="U177" i="2"/>
  <c r="W51" i="2"/>
  <c r="V51" i="2"/>
  <c r="U51" i="2"/>
  <c r="W115" i="2"/>
  <c r="V115" i="2"/>
  <c r="U115" i="2"/>
  <c r="W61" i="2"/>
  <c r="U61" i="2"/>
  <c r="V61" i="2"/>
  <c r="W10" i="2"/>
  <c r="U10" i="2"/>
  <c r="V10" i="2"/>
  <c r="W42" i="2"/>
  <c r="V42" i="2"/>
  <c r="U42" i="2"/>
  <c r="W106" i="2"/>
  <c r="V106" i="2"/>
  <c r="U106" i="2"/>
  <c r="W146" i="2"/>
  <c r="U146" i="2"/>
  <c r="V146" i="2"/>
  <c r="U210" i="2"/>
  <c r="V210" i="2"/>
  <c r="W210" i="2"/>
  <c r="W144" i="2"/>
  <c r="U144" i="2"/>
  <c r="V144" i="2"/>
  <c r="W208" i="2"/>
  <c r="U208" i="2"/>
  <c r="V208" i="2"/>
  <c r="W149" i="2"/>
  <c r="V149" i="2"/>
  <c r="U149" i="2"/>
  <c r="W69" i="2"/>
  <c r="V69" i="2"/>
  <c r="U69" i="2"/>
  <c r="V128" i="2"/>
  <c r="W128" i="2"/>
  <c r="U128" i="2"/>
  <c r="W31" i="2"/>
  <c r="U31" i="2"/>
  <c r="V31" i="2"/>
  <c r="W95" i="2"/>
  <c r="U95" i="2"/>
  <c r="V95" i="2"/>
  <c r="V159" i="2"/>
  <c r="W159" i="2"/>
  <c r="U159" i="2"/>
  <c r="V108" i="2"/>
  <c r="U108" i="2"/>
  <c r="W108" i="2"/>
  <c r="V28" i="2"/>
  <c r="U28" i="2"/>
  <c r="W28" i="2"/>
  <c r="W11" i="2"/>
  <c r="V11" i="2"/>
  <c r="U11" i="2"/>
  <c r="V60" i="2"/>
  <c r="U60" i="2"/>
  <c r="W60" i="2"/>
  <c r="W126" i="2"/>
  <c r="V126" i="2"/>
  <c r="U126" i="2"/>
  <c r="W158" i="2"/>
  <c r="V158" i="2"/>
  <c r="U158" i="2"/>
  <c r="W206" i="2"/>
  <c r="V206" i="2"/>
  <c r="U206" i="2"/>
  <c r="V84" i="2"/>
  <c r="U84" i="2"/>
  <c r="W84" i="2"/>
  <c r="U140" i="2"/>
  <c r="W140" i="2"/>
  <c r="V140" i="2"/>
  <c r="W7" i="2"/>
  <c r="U7" i="2"/>
  <c r="V7" i="2"/>
  <c r="W23" i="2"/>
  <c r="U23" i="2"/>
  <c r="V23" i="2"/>
  <c r="W39" i="2"/>
  <c r="U39" i="2"/>
  <c r="V39" i="2"/>
  <c r="W55" i="2"/>
  <c r="V55" i="2"/>
  <c r="U55" i="2"/>
  <c r="W71" i="2"/>
  <c r="U71" i="2"/>
  <c r="V71" i="2"/>
  <c r="W87" i="2"/>
  <c r="U87" i="2"/>
  <c r="V87" i="2"/>
  <c r="W103" i="2"/>
  <c r="U103" i="2"/>
  <c r="V103" i="2"/>
  <c r="W119" i="2"/>
  <c r="V119" i="2"/>
  <c r="U119" i="2"/>
  <c r="V40" i="2"/>
  <c r="U40" i="2"/>
  <c r="W40" i="2"/>
  <c r="U196" i="2"/>
  <c r="W196" i="2"/>
  <c r="V196" i="2"/>
  <c r="W27" i="2"/>
  <c r="V27" i="2"/>
  <c r="U27" i="2"/>
  <c r="W147" i="2"/>
  <c r="V147" i="2"/>
  <c r="U147" i="2"/>
  <c r="V32" i="2"/>
  <c r="W32" i="2"/>
  <c r="U32" i="2"/>
  <c r="W22" i="2"/>
  <c r="V22" i="2"/>
  <c r="U22" i="2"/>
  <c r="W38" i="2"/>
  <c r="V38" i="2"/>
  <c r="U38" i="2"/>
  <c r="W86" i="2"/>
  <c r="V86" i="2"/>
  <c r="U86" i="2"/>
  <c r="W102" i="2"/>
  <c r="V102" i="2"/>
  <c r="U102" i="2"/>
  <c r="W150" i="2"/>
  <c r="V150" i="2"/>
  <c r="U150" i="2"/>
  <c r="W166" i="2"/>
  <c r="V166" i="2"/>
  <c r="U166" i="2"/>
  <c r="V8" i="2"/>
  <c r="U8" i="2"/>
  <c r="W8" i="2"/>
  <c r="V76" i="2"/>
  <c r="U76" i="2"/>
  <c r="W76" i="2"/>
  <c r="V92" i="2"/>
  <c r="U92" i="2"/>
  <c r="W92" i="2"/>
  <c r="U148" i="2"/>
  <c r="V148" i="2"/>
  <c r="W148" i="2"/>
  <c r="U204" i="2"/>
  <c r="W204" i="2"/>
  <c r="V204" i="2"/>
  <c r="V12" i="2"/>
  <c r="U12" i="2"/>
  <c r="W12" i="2"/>
  <c r="W67" i="2"/>
  <c r="V67" i="2"/>
  <c r="U67" i="2"/>
  <c r="W131" i="2"/>
  <c r="V131" i="2"/>
  <c r="U131" i="2"/>
  <c r="V104" i="2"/>
  <c r="U104" i="2"/>
  <c r="W104" i="2"/>
  <c r="W77" i="2"/>
  <c r="V77" i="2"/>
  <c r="U77" i="2"/>
  <c r="V64" i="2"/>
  <c r="W64" i="2"/>
  <c r="U64" i="2"/>
  <c r="W50" i="2"/>
  <c r="U50" i="2"/>
  <c r="V50" i="2"/>
  <c r="W66" i="2"/>
  <c r="U66" i="2"/>
  <c r="V66" i="2"/>
  <c r="W114" i="2"/>
  <c r="U114" i="2"/>
  <c r="V114" i="2"/>
  <c r="W130" i="2"/>
  <c r="U130" i="2"/>
  <c r="V130" i="2"/>
  <c r="V154" i="2"/>
  <c r="U154" i="2"/>
  <c r="W154" i="2"/>
  <c r="U194" i="2"/>
  <c r="W194" i="2"/>
  <c r="V194" i="2"/>
  <c r="W91" i="2"/>
  <c r="V91" i="2"/>
  <c r="U91" i="2"/>
  <c r="W123" i="2"/>
  <c r="V123" i="2"/>
  <c r="U123" i="2"/>
  <c r="W155" i="2"/>
  <c r="V155" i="2"/>
  <c r="U155" i="2"/>
  <c r="W179" i="2"/>
  <c r="V179" i="2"/>
  <c r="U179" i="2"/>
  <c r="W203" i="2"/>
  <c r="V203" i="2"/>
  <c r="U203" i="2"/>
  <c r="W160" i="2"/>
  <c r="U160" i="2"/>
  <c r="V160" i="2"/>
  <c r="W192" i="2"/>
  <c r="U192" i="2"/>
  <c r="V192" i="2"/>
  <c r="W109" i="2"/>
  <c r="U109" i="2"/>
  <c r="V109" i="2"/>
  <c r="U152" i="2"/>
  <c r="W152" i="2"/>
  <c r="V152" i="2"/>
  <c r="U184" i="2"/>
  <c r="W184" i="2"/>
  <c r="V184" i="2"/>
  <c r="W3" i="15" l="1"/>
  <c r="W4" i="15"/>
  <c r="W5" i="15"/>
  <c r="W6" i="15"/>
  <c r="W7" i="15"/>
  <c r="W8" i="15"/>
  <c r="W2" i="15"/>
  <c r="S3" i="15"/>
  <c r="S4" i="15"/>
  <c r="S5" i="15"/>
  <c r="S6" i="15"/>
  <c r="S7" i="15"/>
  <c r="S8" i="15"/>
  <c r="S2" i="15"/>
  <c r="O3" i="15"/>
  <c r="O4" i="15"/>
  <c r="O5" i="15"/>
  <c r="O6" i="15"/>
  <c r="O7" i="15"/>
  <c r="O8" i="15"/>
  <c r="O2" i="15"/>
  <c r="K3" i="15"/>
  <c r="K4" i="15"/>
  <c r="K5" i="15"/>
  <c r="K6" i="15"/>
  <c r="K7" i="15"/>
  <c r="K8" i="15"/>
  <c r="K2" i="15"/>
  <c r="G3" i="15"/>
  <c r="G4" i="15"/>
  <c r="G5" i="15"/>
  <c r="G6" i="15"/>
  <c r="G7" i="15"/>
  <c r="G8" i="15"/>
  <c r="G2" i="15"/>
  <c r="B3" i="15"/>
  <c r="B4" i="15"/>
  <c r="T4" i="15" s="1"/>
  <c r="B5" i="15"/>
  <c r="B6" i="15"/>
  <c r="B7" i="15"/>
  <c r="B8" i="15"/>
  <c r="T8" i="15" s="1"/>
  <c r="B2" i="15"/>
  <c r="K3" i="13"/>
  <c r="K4" i="13"/>
  <c r="K5" i="13"/>
  <c r="K6" i="13"/>
  <c r="K7" i="13"/>
  <c r="K8" i="13"/>
  <c r="K9" i="13"/>
  <c r="J3" i="13"/>
  <c r="J4" i="13"/>
  <c r="J5" i="13"/>
  <c r="J6" i="13"/>
  <c r="J7" i="13"/>
  <c r="J8" i="13"/>
  <c r="J9" i="13"/>
  <c r="I3" i="13"/>
  <c r="I4" i="13"/>
  <c r="I5" i="13"/>
  <c r="I6" i="13"/>
  <c r="I7" i="13"/>
  <c r="I8" i="13"/>
  <c r="I9" i="13"/>
  <c r="H3" i="13"/>
  <c r="H4" i="13"/>
  <c r="H5" i="13"/>
  <c r="H6" i="13"/>
  <c r="H7" i="13"/>
  <c r="H8" i="13"/>
  <c r="H9" i="13"/>
  <c r="G3" i="13"/>
  <c r="G4" i="13"/>
  <c r="G5" i="13"/>
  <c r="G6" i="13"/>
  <c r="G7" i="13"/>
  <c r="G8" i="13"/>
  <c r="G9" i="13"/>
  <c r="F3" i="13"/>
  <c r="F4" i="13"/>
  <c r="F5" i="13"/>
  <c r="F6" i="13"/>
  <c r="F7" i="13"/>
  <c r="F8" i="13"/>
  <c r="F9" i="13"/>
  <c r="E3" i="13"/>
  <c r="E4" i="13"/>
  <c r="E5" i="13"/>
  <c r="E6" i="13"/>
  <c r="E7" i="13"/>
  <c r="E8" i="13"/>
  <c r="E9" i="13"/>
  <c r="D3" i="13"/>
  <c r="D4" i="13"/>
  <c r="D5" i="13"/>
  <c r="D6" i="13"/>
  <c r="D7" i="13"/>
  <c r="D8" i="13"/>
  <c r="D9" i="13"/>
  <c r="C3" i="13"/>
  <c r="C4" i="13"/>
  <c r="C5" i="13"/>
  <c r="C6" i="13"/>
  <c r="C7" i="13"/>
  <c r="C8" i="13"/>
  <c r="C9" i="13"/>
  <c r="B3" i="13"/>
  <c r="B4" i="13"/>
  <c r="B5" i="13"/>
  <c r="B6" i="13"/>
  <c r="B7" i="13"/>
  <c r="B8" i="13"/>
  <c r="B9" i="13"/>
  <c r="P8" i="15" l="1"/>
  <c r="T3" i="15"/>
  <c r="N2" i="15"/>
  <c r="L5" i="15"/>
  <c r="U2" i="15"/>
  <c r="U5" i="15"/>
  <c r="T7" i="15"/>
  <c r="R3" i="15"/>
  <c r="I7" i="15"/>
  <c r="I3" i="15"/>
  <c r="U7" i="15"/>
  <c r="V3" i="15"/>
  <c r="Y6" i="15"/>
  <c r="I8" i="15"/>
  <c r="I4" i="15"/>
  <c r="L7" i="15"/>
  <c r="L3" i="15"/>
  <c r="V8" i="15"/>
  <c r="V4" i="15"/>
  <c r="U4" i="15"/>
  <c r="L6" i="15"/>
  <c r="Q4" i="15"/>
  <c r="U3" i="15"/>
  <c r="Q8" i="15"/>
  <c r="R4" i="15"/>
  <c r="T6" i="15"/>
  <c r="U8" i="15"/>
  <c r="V7" i="15"/>
  <c r="Q2" i="15"/>
  <c r="T2" i="15"/>
  <c r="T5" i="15"/>
  <c r="M8" i="15"/>
  <c r="N7" i="15"/>
  <c r="R8" i="15"/>
  <c r="V6" i="15"/>
  <c r="X5" i="15"/>
  <c r="M9" i="13"/>
  <c r="M5" i="13"/>
  <c r="L8" i="13"/>
  <c r="L4" i="13"/>
  <c r="C3" i="15" s="1"/>
  <c r="E3" i="15" s="1"/>
  <c r="I6" i="15"/>
  <c r="H7" i="15"/>
  <c r="M5" i="15"/>
  <c r="M6" i="15"/>
  <c r="N6" i="15"/>
  <c r="P7" i="15"/>
  <c r="P3" i="15"/>
  <c r="P4" i="15"/>
  <c r="R7" i="15"/>
  <c r="U6" i="15"/>
  <c r="V2" i="15"/>
  <c r="V5" i="15"/>
  <c r="Y8" i="15"/>
  <c r="Y4" i="15"/>
  <c r="L2" i="15"/>
  <c r="Q5" i="15"/>
  <c r="P5" i="15"/>
  <c r="X2" i="15"/>
  <c r="M4" i="13"/>
  <c r="L7" i="13"/>
  <c r="C6" i="15" s="1"/>
  <c r="F6" i="15" s="1"/>
  <c r="L3" i="13"/>
  <c r="I2" i="15"/>
  <c r="I5" i="15"/>
  <c r="M2" i="15"/>
  <c r="L8" i="15"/>
  <c r="L4" i="15"/>
  <c r="M4" i="15"/>
  <c r="N3" i="15"/>
  <c r="P6" i="15"/>
  <c r="P2" i="15"/>
  <c r="Z7" i="15"/>
  <c r="Z3" i="15"/>
  <c r="Q7" i="15"/>
  <c r="Q3" i="15"/>
  <c r="R6" i="15"/>
  <c r="Q6" i="15"/>
  <c r="R2" i="15"/>
  <c r="R5" i="15"/>
  <c r="M7" i="15"/>
  <c r="M3" i="15"/>
  <c r="N5" i="15"/>
  <c r="N8" i="15"/>
  <c r="N4" i="15"/>
  <c r="J6" i="15"/>
  <c r="H6" i="15"/>
  <c r="H4" i="15"/>
  <c r="J7" i="15"/>
  <c r="J3" i="15"/>
  <c r="H8" i="15"/>
  <c r="H3" i="15"/>
  <c r="J2" i="15"/>
  <c r="J5" i="15"/>
  <c r="H2" i="15"/>
  <c r="H5" i="15"/>
  <c r="J8" i="15"/>
  <c r="J4" i="15"/>
  <c r="Z8" i="15"/>
  <c r="X8" i="15"/>
  <c r="Y5" i="15"/>
  <c r="Z4" i="15"/>
  <c r="M8" i="13"/>
  <c r="X6" i="15"/>
  <c r="X4" i="15"/>
  <c r="Z6" i="15"/>
  <c r="Y2" i="15"/>
  <c r="Y7" i="15"/>
  <c r="Y3" i="15"/>
  <c r="X7" i="15"/>
  <c r="X3" i="15"/>
  <c r="Z2" i="15"/>
  <c r="Z5" i="15"/>
  <c r="M7" i="13"/>
  <c r="M3" i="13"/>
  <c r="L6" i="13"/>
  <c r="M6" i="13"/>
  <c r="L9" i="13"/>
  <c r="L5" i="13"/>
  <c r="J10" i="13"/>
  <c r="B10" i="13"/>
  <c r="F10" i="13"/>
  <c r="E10" i="13"/>
  <c r="I10" i="13"/>
  <c r="D10" i="13"/>
  <c r="H10" i="13"/>
  <c r="G10" i="13"/>
  <c r="K10" i="13"/>
  <c r="C7" i="15"/>
  <c r="E7" i="15" s="1"/>
  <c r="C10" i="13"/>
  <c r="C4" i="15"/>
  <c r="F4" i="15" s="1"/>
  <c r="N8" i="13" l="1"/>
  <c r="N4" i="13"/>
  <c r="N7" i="13"/>
  <c r="N3" i="13"/>
  <c r="N9" i="13"/>
  <c r="N5" i="13"/>
  <c r="C5" i="15"/>
  <c r="E5" i="15" s="1"/>
  <c r="N6" i="13"/>
  <c r="E4" i="15"/>
  <c r="C8" i="15"/>
  <c r="F8" i="15" s="1"/>
  <c r="D3" i="15"/>
  <c r="D4" i="15"/>
  <c r="F3" i="15"/>
  <c r="D6" i="15"/>
  <c r="L10" i="13"/>
  <c r="C2" i="15"/>
  <c r="E6" i="15"/>
  <c r="D7" i="15"/>
  <c r="F7" i="15"/>
  <c r="F5" i="15" l="1"/>
  <c r="D5" i="15"/>
  <c r="E8" i="15"/>
  <c r="D8" i="15"/>
  <c r="E2" i="15"/>
  <c r="C9" i="15"/>
  <c r="F2" i="15"/>
  <c r="D2" i="15"/>
  <c r="O3" i="7"/>
  <c r="K3" i="7"/>
  <c r="G3" i="7"/>
  <c r="L3" i="7" l="1"/>
  <c r="P3" i="7" l="1"/>
  <c r="Q3" i="7"/>
  <c r="R3" i="7"/>
  <c r="L206" i="6"/>
  <c r="K206" i="6"/>
  <c r="L172" i="6"/>
  <c r="K172" i="6"/>
  <c r="G172" i="6"/>
  <c r="H172" i="6" s="1"/>
  <c r="M172" i="6" s="1"/>
  <c r="L146" i="6"/>
  <c r="K146" i="6"/>
  <c r="G146" i="6"/>
  <c r="H146" i="6" s="1"/>
  <c r="M146" i="6" s="1"/>
  <c r="L109" i="6"/>
  <c r="K109" i="6"/>
  <c r="G109" i="6"/>
  <c r="H109" i="6" s="1"/>
  <c r="M109" i="6" s="1"/>
  <c r="L99" i="6"/>
  <c r="K99" i="6"/>
  <c r="G99" i="6"/>
  <c r="H99" i="6" s="1"/>
  <c r="M99" i="6" s="1"/>
  <c r="L96" i="6"/>
  <c r="K96" i="6"/>
  <c r="G96" i="6"/>
  <c r="H96" i="6" s="1"/>
  <c r="M96" i="6" s="1"/>
  <c r="L88" i="6"/>
  <c r="K88" i="6"/>
  <c r="G88" i="6"/>
  <c r="H88" i="6" s="1"/>
  <c r="M88" i="6" s="1"/>
  <c r="L85" i="6"/>
  <c r="K85" i="6"/>
  <c r="G85" i="6"/>
  <c r="H85" i="6" s="1"/>
  <c r="M85" i="6" s="1"/>
  <c r="L68" i="6"/>
  <c r="K68" i="6"/>
  <c r="G68" i="6"/>
  <c r="H68" i="6" s="1"/>
  <c r="M68" i="6" s="1"/>
  <c r="L64" i="6"/>
  <c r="K64" i="6"/>
  <c r="G64" i="6"/>
  <c r="H64" i="6" s="1"/>
  <c r="M64" i="6" s="1"/>
  <c r="L54" i="6"/>
  <c r="K54" i="6"/>
  <c r="G54" i="6"/>
  <c r="H54" i="6" s="1"/>
  <c r="M54" i="6" s="1"/>
  <c r="L14" i="6"/>
  <c r="K14" i="6"/>
  <c r="G14" i="6"/>
  <c r="H14" i="6" s="1"/>
  <c r="M14" i="6" s="1"/>
  <c r="L38" i="6"/>
  <c r="K38" i="6"/>
  <c r="G38" i="6"/>
  <c r="H38" i="6" s="1"/>
  <c r="M38" i="6" s="1"/>
  <c r="L149" i="6"/>
  <c r="K149" i="6"/>
  <c r="G149" i="6"/>
  <c r="H149" i="6" s="1"/>
  <c r="M149" i="6" s="1"/>
  <c r="L163" i="6"/>
  <c r="K163" i="6"/>
  <c r="L114" i="6"/>
  <c r="K114" i="6"/>
  <c r="L24" i="6"/>
  <c r="K24" i="6"/>
  <c r="G24" i="6"/>
  <c r="H24" i="6" s="1"/>
  <c r="M24" i="6" s="1"/>
  <c r="L131" i="6"/>
  <c r="K131" i="6"/>
  <c r="G131" i="6"/>
  <c r="H131" i="6" s="1"/>
  <c r="M131" i="6" s="1"/>
  <c r="L12" i="6"/>
  <c r="K12" i="6"/>
  <c r="G12" i="6"/>
  <c r="H12" i="6" s="1"/>
  <c r="M12" i="6" s="1"/>
  <c r="L66" i="6"/>
  <c r="K66" i="6"/>
  <c r="L116" i="6"/>
  <c r="K116" i="6"/>
  <c r="G116" i="6"/>
  <c r="H116" i="6" s="1"/>
  <c r="M116" i="6" s="1"/>
  <c r="L77" i="6"/>
  <c r="K77" i="6"/>
  <c r="L201" i="6"/>
  <c r="K201" i="6"/>
  <c r="G201" i="6"/>
  <c r="H201" i="6" s="1"/>
  <c r="M201" i="6" s="1"/>
  <c r="L168" i="6"/>
  <c r="K168" i="6"/>
  <c r="G168" i="6"/>
  <c r="H168" i="6" s="1"/>
  <c r="M168" i="6" s="1"/>
  <c r="L200" i="6"/>
  <c r="K200" i="6"/>
  <c r="L7" i="6"/>
  <c r="K7" i="6"/>
  <c r="L94" i="6"/>
  <c r="K94" i="6"/>
  <c r="L171" i="6"/>
  <c r="K171" i="6"/>
  <c r="L122" i="6"/>
  <c r="K122" i="6"/>
  <c r="G122" i="6"/>
  <c r="H122" i="6" s="1"/>
  <c r="M122" i="6" s="1"/>
  <c r="L145" i="6"/>
  <c r="K145" i="6"/>
  <c r="G145" i="6"/>
  <c r="H145" i="6" s="1"/>
  <c r="M145" i="6" s="1"/>
  <c r="L180" i="6"/>
  <c r="K180" i="6"/>
  <c r="L125" i="6"/>
  <c r="K125" i="6"/>
  <c r="L6" i="6"/>
  <c r="K6" i="6"/>
  <c r="L57" i="6"/>
  <c r="K57" i="6"/>
  <c r="L9" i="6"/>
  <c r="K9" i="6"/>
  <c r="G9" i="6"/>
  <c r="H9" i="6" s="1"/>
  <c r="M9" i="6" s="1"/>
  <c r="L17" i="6"/>
  <c r="K17" i="6"/>
  <c r="G17" i="6"/>
  <c r="H17" i="6" s="1"/>
  <c r="M17" i="6" s="1"/>
  <c r="L41" i="6"/>
  <c r="K41" i="6"/>
  <c r="L212" i="6"/>
  <c r="K212" i="6"/>
  <c r="L183" i="6"/>
  <c r="K183" i="6"/>
  <c r="L181" i="6"/>
  <c r="K181" i="6"/>
  <c r="G181" i="6"/>
  <c r="H181" i="6" s="1"/>
  <c r="M181" i="6" s="1"/>
  <c r="L78" i="6"/>
  <c r="K78" i="6"/>
  <c r="G78" i="6"/>
  <c r="H78" i="6" s="1"/>
  <c r="M78" i="6" s="1"/>
  <c r="L28" i="6"/>
  <c r="K28" i="6"/>
  <c r="G28" i="6"/>
  <c r="H28" i="6" s="1"/>
  <c r="M28" i="6" s="1"/>
  <c r="L124" i="6"/>
  <c r="K124" i="6"/>
  <c r="G124" i="6"/>
  <c r="H124" i="6" s="1"/>
  <c r="M124" i="6" s="1"/>
  <c r="L129" i="6"/>
  <c r="K129" i="6"/>
  <c r="L195" i="6"/>
  <c r="K195" i="6"/>
  <c r="L117" i="6"/>
  <c r="K117" i="6"/>
  <c r="G117" i="6"/>
  <c r="H117" i="6" s="1"/>
  <c r="M117" i="6" s="1"/>
  <c r="L158" i="6"/>
  <c r="K158" i="6"/>
  <c r="G158" i="6"/>
  <c r="H158" i="6" s="1"/>
  <c r="M158" i="6" s="1"/>
  <c r="L185" i="6"/>
  <c r="K185" i="6"/>
  <c r="G185" i="6"/>
  <c r="H185" i="6" s="1"/>
  <c r="M185" i="6" s="1"/>
  <c r="L52" i="6"/>
  <c r="K52" i="6"/>
  <c r="L133" i="6"/>
  <c r="K133" i="6"/>
  <c r="G133" i="6"/>
  <c r="H133" i="6" s="1"/>
  <c r="M133" i="6" s="1"/>
  <c r="L79" i="6"/>
  <c r="K79" i="6"/>
  <c r="L162" i="6"/>
  <c r="K162" i="6"/>
  <c r="L19" i="6"/>
  <c r="K19" i="6"/>
  <c r="L209" i="6"/>
  <c r="K209" i="6"/>
  <c r="G209" i="6"/>
  <c r="H209" i="6" s="1"/>
  <c r="M209" i="6" s="1"/>
  <c r="L188" i="6"/>
  <c r="K188" i="6"/>
  <c r="G188" i="6"/>
  <c r="H188" i="6" s="1"/>
  <c r="M188" i="6" s="1"/>
  <c r="L70" i="6"/>
  <c r="K70" i="6"/>
  <c r="L53" i="6"/>
  <c r="K53" i="6"/>
  <c r="G53" i="6"/>
  <c r="H53" i="6" s="1"/>
  <c r="M53" i="6" s="1"/>
  <c r="L16" i="6"/>
  <c r="K16" i="6"/>
  <c r="L102" i="6"/>
  <c r="K102" i="6"/>
  <c r="G102" i="6"/>
  <c r="H102" i="6" s="1"/>
  <c r="M102" i="6" s="1"/>
  <c r="L34" i="6"/>
  <c r="K34" i="6"/>
  <c r="G34" i="6"/>
  <c r="H34" i="6" s="1"/>
  <c r="M34" i="6" s="1"/>
  <c r="L147" i="6"/>
  <c r="K147" i="6"/>
  <c r="G147" i="6"/>
  <c r="H147" i="6" s="1"/>
  <c r="M147" i="6" s="1"/>
  <c r="L30" i="6"/>
  <c r="K30" i="6"/>
  <c r="L127" i="6"/>
  <c r="K127" i="6"/>
  <c r="G127" i="6"/>
  <c r="H127" i="6" s="1"/>
  <c r="M127" i="6" s="1"/>
  <c r="L164" i="6"/>
  <c r="K164" i="6"/>
  <c r="L140" i="6"/>
  <c r="K140" i="6"/>
  <c r="G140" i="6"/>
  <c r="H140" i="6" s="1"/>
  <c r="M140" i="6" s="1"/>
  <c r="L115" i="6"/>
  <c r="K115" i="6"/>
  <c r="G115" i="6"/>
  <c r="H115" i="6" s="1"/>
  <c r="M115" i="6" s="1"/>
  <c r="L174" i="6"/>
  <c r="K174" i="6"/>
  <c r="L97" i="6"/>
  <c r="K97" i="6"/>
  <c r="G97" i="6"/>
  <c r="H97" i="6" s="1"/>
  <c r="M97" i="6" s="1"/>
  <c r="L157" i="6"/>
  <c r="K157" i="6"/>
  <c r="G157" i="6"/>
  <c r="H157" i="6" s="1"/>
  <c r="M157" i="6" s="1"/>
  <c r="L173" i="6"/>
  <c r="K173" i="6"/>
  <c r="G173" i="6"/>
  <c r="H173" i="6" s="1"/>
  <c r="M173" i="6" s="1"/>
  <c r="L170" i="6"/>
  <c r="K170" i="6"/>
  <c r="G170" i="6"/>
  <c r="H170" i="6" s="1"/>
  <c r="M170" i="6" s="1"/>
  <c r="L22" i="6"/>
  <c r="K22" i="6"/>
  <c r="G22" i="6"/>
  <c r="H22" i="6" s="1"/>
  <c r="M22" i="6" s="1"/>
  <c r="L67" i="6"/>
  <c r="K67" i="6"/>
  <c r="L93" i="6"/>
  <c r="K93" i="6"/>
  <c r="G93" i="6"/>
  <c r="H93" i="6" s="1"/>
  <c r="M93" i="6" s="1"/>
  <c r="L196" i="6"/>
  <c r="K196" i="6"/>
  <c r="L118" i="6"/>
  <c r="K118" i="6"/>
  <c r="G118" i="6"/>
  <c r="H118" i="6" s="1"/>
  <c r="M118" i="6" s="1"/>
  <c r="L141" i="6"/>
  <c r="K141" i="6"/>
  <c r="G141" i="6"/>
  <c r="H141" i="6" s="1"/>
  <c r="M141" i="6" s="1"/>
  <c r="L106" i="6"/>
  <c r="K106" i="6"/>
  <c r="G106" i="6"/>
  <c r="H106" i="6" s="1"/>
  <c r="M106" i="6" s="1"/>
  <c r="L11" i="6"/>
  <c r="K11" i="6"/>
  <c r="G11" i="6"/>
  <c r="H11" i="6" s="1"/>
  <c r="M11" i="6" s="1"/>
  <c r="L50" i="6"/>
  <c r="K50" i="6"/>
  <c r="G50" i="6"/>
  <c r="H50" i="6" s="1"/>
  <c r="M50" i="6" s="1"/>
  <c r="L204" i="6"/>
  <c r="K204" i="6"/>
  <c r="G204" i="6"/>
  <c r="H204" i="6" s="1"/>
  <c r="M204" i="6" s="1"/>
  <c r="L130" i="6"/>
  <c r="K130" i="6"/>
  <c r="G130" i="6"/>
  <c r="H130" i="6" s="1"/>
  <c r="M130" i="6" s="1"/>
  <c r="L55" i="6"/>
  <c r="K55" i="6"/>
  <c r="G55" i="6"/>
  <c r="H55" i="6" s="1"/>
  <c r="M55" i="6" s="1"/>
  <c r="L132" i="6"/>
  <c r="K132" i="6"/>
  <c r="G132" i="6"/>
  <c r="H132" i="6" s="1"/>
  <c r="M132" i="6" s="1"/>
  <c r="L83" i="6"/>
  <c r="K83" i="6"/>
  <c r="G83" i="6"/>
  <c r="H83" i="6" s="1"/>
  <c r="M83" i="6" s="1"/>
  <c r="L193" i="6"/>
  <c r="K193" i="6"/>
  <c r="L4" i="6"/>
  <c r="K4" i="6"/>
  <c r="L207" i="6"/>
  <c r="K207" i="6"/>
  <c r="G207" i="6"/>
  <c r="H207" i="6" s="1"/>
  <c r="M207" i="6" s="1"/>
  <c r="L187" i="6"/>
  <c r="K187" i="6"/>
  <c r="G187" i="6"/>
  <c r="H187" i="6" s="1"/>
  <c r="M187" i="6" s="1"/>
  <c r="L25" i="6"/>
  <c r="K25" i="6"/>
  <c r="G25" i="6"/>
  <c r="H25" i="6" s="1"/>
  <c r="M25" i="6" s="1"/>
  <c r="L76" i="6"/>
  <c r="K76" i="6"/>
  <c r="G76" i="6"/>
  <c r="H76" i="6" s="1"/>
  <c r="M76" i="6" s="1"/>
  <c r="L186" i="6"/>
  <c r="K186" i="6"/>
  <c r="G186" i="6"/>
  <c r="H186" i="6" s="1"/>
  <c r="M186" i="6" s="1"/>
  <c r="L62" i="6"/>
  <c r="K62" i="6"/>
  <c r="L95" i="6"/>
  <c r="K95" i="6"/>
  <c r="G95" i="6"/>
  <c r="H95" i="6" s="1"/>
  <c r="M95" i="6" s="1"/>
  <c r="L56" i="6"/>
  <c r="K56" i="6"/>
  <c r="G56" i="6"/>
  <c r="H56" i="6" s="1"/>
  <c r="M56" i="6" s="1"/>
  <c r="L87" i="6"/>
  <c r="K87" i="6"/>
  <c r="G87" i="6"/>
  <c r="H87" i="6" s="1"/>
  <c r="M87" i="6" s="1"/>
  <c r="L27" i="6"/>
  <c r="K27" i="6"/>
  <c r="G27" i="6"/>
  <c r="H27" i="6" s="1"/>
  <c r="M27" i="6" s="1"/>
  <c r="L139" i="6"/>
  <c r="K139" i="6"/>
  <c r="G139" i="6"/>
  <c r="H139" i="6" s="1"/>
  <c r="M139" i="6" s="1"/>
  <c r="L61" i="6"/>
  <c r="K61" i="6"/>
  <c r="G61" i="6"/>
  <c r="H61" i="6" s="1"/>
  <c r="M61" i="6" s="1"/>
  <c r="L45" i="6"/>
  <c r="K45" i="6"/>
  <c r="G45" i="6"/>
  <c r="H45" i="6" s="1"/>
  <c r="M45" i="6" s="1"/>
  <c r="L137" i="6"/>
  <c r="K137" i="6"/>
  <c r="G137" i="6"/>
  <c r="H137" i="6" s="1"/>
  <c r="M137" i="6" s="1"/>
  <c r="L20" i="6"/>
  <c r="K20" i="6"/>
  <c r="G20" i="6"/>
  <c r="H20" i="6" s="1"/>
  <c r="M20" i="6" s="1"/>
  <c r="L197" i="6"/>
  <c r="K197" i="6"/>
  <c r="G197" i="6"/>
  <c r="H197" i="6" s="1"/>
  <c r="M197" i="6" s="1"/>
  <c r="L113" i="6"/>
  <c r="K113" i="6"/>
  <c r="L42" i="6"/>
  <c r="K42" i="6"/>
  <c r="G42" i="6"/>
  <c r="H42" i="6" s="1"/>
  <c r="M42" i="6" s="1"/>
  <c r="L152" i="6"/>
  <c r="K152" i="6"/>
  <c r="G152" i="6"/>
  <c r="H152" i="6" s="1"/>
  <c r="M152" i="6" s="1"/>
  <c r="L47" i="6"/>
  <c r="K47" i="6"/>
  <c r="G47" i="6"/>
  <c r="H47" i="6" s="1"/>
  <c r="M47" i="6" s="1"/>
  <c r="L111" i="6"/>
  <c r="K111" i="6"/>
  <c r="L156" i="6"/>
  <c r="K156" i="6"/>
  <c r="G156" i="6"/>
  <c r="H156" i="6" s="1"/>
  <c r="M156" i="6" s="1"/>
  <c r="L82" i="6"/>
  <c r="K82" i="6"/>
  <c r="L48" i="6"/>
  <c r="K48" i="6"/>
  <c r="G48" i="6"/>
  <c r="H48" i="6" s="1"/>
  <c r="M48" i="6" s="1"/>
  <c r="L21" i="6"/>
  <c r="K21" i="6"/>
  <c r="G21" i="6"/>
  <c r="H21" i="6" s="1"/>
  <c r="M21" i="6" s="1"/>
  <c r="L167" i="6"/>
  <c r="K167" i="6"/>
  <c r="G167" i="6"/>
  <c r="H167" i="6" s="1"/>
  <c r="M167" i="6" s="1"/>
  <c r="L190" i="6"/>
  <c r="K190" i="6"/>
  <c r="L150" i="6"/>
  <c r="K150" i="6"/>
  <c r="G150" i="6"/>
  <c r="H150" i="6" s="1"/>
  <c r="M150" i="6" s="1"/>
  <c r="L166" i="6"/>
  <c r="K166" i="6"/>
  <c r="G166" i="6"/>
  <c r="H166" i="6" s="1"/>
  <c r="M166" i="6" s="1"/>
  <c r="L104" i="6"/>
  <c r="K104" i="6"/>
  <c r="G104" i="6"/>
  <c r="H104" i="6" s="1"/>
  <c r="M104" i="6" s="1"/>
  <c r="L71" i="6"/>
  <c r="K71" i="6"/>
  <c r="G71" i="6"/>
  <c r="H71" i="6" s="1"/>
  <c r="M71" i="6" s="1"/>
  <c r="L15" i="6"/>
  <c r="K15" i="6"/>
  <c r="G15" i="6"/>
  <c r="H15" i="6" s="1"/>
  <c r="M15" i="6" s="1"/>
  <c r="L73" i="6"/>
  <c r="K73" i="6"/>
  <c r="G73" i="6"/>
  <c r="H73" i="6" s="1"/>
  <c r="M73" i="6" s="1"/>
  <c r="L31" i="6"/>
  <c r="K31" i="6"/>
  <c r="G31" i="6"/>
  <c r="H31" i="6" s="1"/>
  <c r="M31" i="6" s="1"/>
  <c r="L86" i="6"/>
  <c r="K86" i="6"/>
  <c r="L58" i="6"/>
  <c r="K58" i="6"/>
  <c r="G58" i="6"/>
  <c r="H58" i="6" s="1"/>
  <c r="M58" i="6" s="1"/>
  <c r="L72" i="6"/>
  <c r="K72" i="6"/>
  <c r="G72" i="6"/>
  <c r="H72" i="6" s="1"/>
  <c r="M72" i="6" s="1"/>
  <c r="L108" i="6"/>
  <c r="K108" i="6"/>
  <c r="L142" i="6"/>
  <c r="K142" i="6"/>
  <c r="G142" i="6"/>
  <c r="H142" i="6" s="1"/>
  <c r="M142" i="6" s="1"/>
  <c r="L5" i="6"/>
  <c r="K5" i="6"/>
  <c r="G5" i="6"/>
  <c r="H5" i="6" s="1"/>
  <c r="M5" i="6" s="1"/>
  <c r="L92" i="6"/>
  <c r="K92" i="6"/>
  <c r="G92" i="6"/>
  <c r="H92" i="6" s="1"/>
  <c r="M92" i="6" s="1"/>
  <c r="L110" i="6"/>
  <c r="K110" i="6"/>
  <c r="G110" i="6"/>
  <c r="H110" i="6" s="1"/>
  <c r="M110" i="6" s="1"/>
  <c r="L151" i="6"/>
  <c r="K151" i="6"/>
  <c r="L112" i="6"/>
  <c r="K112" i="6"/>
  <c r="G112" i="6"/>
  <c r="H112" i="6" s="1"/>
  <c r="M112" i="6" s="1"/>
  <c r="L26" i="6"/>
  <c r="K26" i="6"/>
  <c r="G26" i="6"/>
  <c r="H26" i="6" s="1"/>
  <c r="M26" i="6" s="1"/>
  <c r="L199" i="6"/>
  <c r="K199" i="6"/>
  <c r="G199" i="6"/>
  <c r="H199" i="6" s="1"/>
  <c r="M199" i="6" s="1"/>
  <c r="L39" i="6"/>
  <c r="K39" i="6"/>
  <c r="L107" i="6"/>
  <c r="K107" i="6"/>
  <c r="G107" i="6"/>
  <c r="H107" i="6" s="1"/>
  <c r="M107" i="6" s="1"/>
  <c r="L37" i="6"/>
  <c r="K37" i="6"/>
  <c r="G37" i="6"/>
  <c r="H37" i="6" s="1"/>
  <c r="M37" i="6" s="1"/>
  <c r="L189" i="6"/>
  <c r="K189" i="6"/>
  <c r="L74" i="6"/>
  <c r="K74" i="6"/>
  <c r="G74" i="6"/>
  <c r="H74" i="6" s="1"/>
  <c r="M74" i="6" s="1"/>
  <c r="L91" i="6"/>
  <c r="K91" i="6"/>
  <c r="G91" i="6"/>
  <c r="H91" i="6" s="1"/>
  <c r="M91" i="6" s="1"/>
  <c r="L59" i="6"/>
  <c r="K59" i="6"/>
  <c r="G59" i="6"/>
  <c r="H59" i="6" s="1"/>
  <c r="M59" i="6" s="1"/>
  <c r="L208" i="6"/>
  <c r="K208" i="6"/>
  <c r="L214" i="6"/>
  <c r="K214" i="6"/>
  <c r="L44" i="6"/>
  <c r="K44" i="6"/>
  <c r="G44" i="6"/>
  <c r="H44" i="6" s="1"/>
  <c r="M44" i="6" s="1"/>
  <c r="L126" i="6"/>
  <c r="K126" i="6"/>
  <c r="G126" i="6"/>
  <c r="H126" i="6" s="1"/>
  <c r="M126" i="6" s="1"/>
  <c r="L121" i="6"/>
  <c r="K121" i="6"/>
  <c r="G121" i="6"/>
  <c r="H121" i="6" s="1"/>
  <c r="M121" i="6" s="1"/>
  <c r="L169" i="6"/>
  <c r="K169" i="6"/>
  <c r="G169" i="6"/>
  <c r="H169" i="6" s="1"/>
  <c r="M169" i="6" s="1"/>
  <c r="L134" i="6"/>
  <c r="K134" i="6"/>
  <c r="G134" i="6"/>
  <c r="H134" i="6" s="1"/>
  <c r="M134" i="6" s="1"/>
  <c r="L203" i="6"/>
  <c r="K203" i="6"/>
  <c r="G203" i="6"/>
  <c r="H203" i="6" s="1"/>
  <c r="M203" i="6" s="1"/>
  <c r="L80" i="6"/>
  <c r="K80" i="6"/>
  <c r="G80" i="6"/>
  <c r="H80" i="6" s="1"/>
  <c r="M80" i="6" s="1"/>
  <c r="L192" i="6"/>
  <c r="K192" i="6"/>
  <c r="G192" i="6"/>
  <c r="H192" i="6" s="1"/>
  <c r="M192" i="6" s="1"/>
  <c r="L178" i="6"/>
  <c r="K178" i="6"/>
  <c r="G178" i="6"/>
  <c r="H178" i="6" s="1"/>
  <c r="M178" i="6" s="1"/>
  <c r="L205" i="6"/>
  <c r="K205" i="6"/>
  <c r="G205" i="6"/>
  <c r="H205" i="6" s="1"/>
  <c r="M205" i="6" s="1"/>
  <c r="L35" i="6"/>
  <c r="K35" i="6"/>
  <c r="G35" i="6"/>
  <c r="H35" i="6" s="1"/>
  <c r="M35" i="6" s="1"/>
  <c r="L194" i="6"/>
  <c r="K194" i="6"/>
  <c r="G194" i="6"/>
  <c r="H194" i="6" s="1"/>
  <c r="M194" i="6" s="1"/>
  <c r="L75" i="6"/>
  <c r="K75" i="6"/>
  <c r="G75" i="6"/>
  <c r="H75" i="6" s="1"/>
  <c r="M75" i="6" s="1"/>
  <c r="L98" i="6"/>
  <c r="K98" i="6"/>
  <c r="G98" i="6"/>
  <c r="H98" i="6" s="1"/>
  <c r="M98" i="6" s="1"/>
  <c r="L176" i="6"/>
  <c r="K176" i="6"/>
  <c r="G176" i="6"/>
  <c r="H176" i="6" s="1"/>
  <c r="M176" i="6" s="1"/>
  <c r="L103" i="6"/>
  <c r="K103" i="6"/>
  <c r="L159" i="6"/>
  <c r="K159" i="6"/>
  <c r="G159" i="6"/>
  <c r="H159" i="6" s="1"/>
  <c r="M159" i="6" s="1"/>
  <c r="L13" i="6"/>
  <c r="K13" i="6"/>
  <c r="L51" i="6"/>
  <c r="K51" i="6"/>
  <c r="G51" i="6"/>
  <c r="H51" i="6" s="1"/>
  <c r="M51" i="6" s="1"/>
  <c r="L84" i="6"/>
  <c r="K84" i="6"/>
  <c r="G84" i="6"/>
  <c r="H84" i="6" s="1"/>
  <c r="M84" i="6" s="1"/>
  <c r="L160" i="6"/>
  <c r="K160" i="6"/>
  <c r="G160" i="6"/>
  <c r="H160" i="6" s="1"/>
  <c r="M160" i="6" s="1"/>
  <c r="L63" i="6"/>
  <c r="K63" i="6"/>
  <c r="G63" i="6"/>
  <c r="H63" i="6" s="1"/>
  <c r="M63" i="6" s="1"/>
  <c r="L23" i="6"/>
  <c r="K23" i="6"/>
  <c r="G23" i="6"/>
  <c r="H23" i="6" s="1"/>
  <c r="M23" i="6" s="1"/>
  <c r="L216" i="6"/>
  <c r="K216" i="6"/>
  <c r="G216" i="6"/>
  <c r="H216" i="6" s="1"/>
  <c r="M216" i="6" s="1"/>
  <c r="L155" i="6"/>
  <c r="K155" i="6"/>
  <c r="G155" i="6"/>
  <c r="H155" i="6" s="1"/>
  <c r="M155" i="6" s="1"/>
  <c r="L153" i="6"/>
  <c r="K153" i="6"/>
  <c r="G153" i="6"/>
  <c r="H153" i="6" s="1"/>
  <c r="M153" i="6" s="1"/>
  <c r="L175" i="6"/>
  <c r="K175" i="6"/>
  <c r="L177" i="6"/>
  <c r="K177" i="6"/>
  <c r="L161" i="6"/>
  <c r="K161" i="6"/>
  <c r="G161" i="6"/>
  <c r="H161" i="6" s="1"/>
  <c r="M161" i="6" s="1"/>
  <c r="L100" i="6"/>
  <c r="K100" i="6"/>
  <c r="G100" i="6"/>
  <c r="H100" i="6" s="1"/>
  <c r="M100" i="6" s="1"/>
  <c r="L179" i="6"/>
  <c r="K179" i="6"/>
  <c r="L69" i="6"/>
  <c r="K69" i="6"/>
  <c r="G69" i="6"/>
  <c r="H69" i="6" s="1"/>
  <c r="M69" i="6" s="1"/>
  <c r="L165" i="6"/>
  <c r="K165" i="6"/>
  <c r="G165" i="6"/>
  <c r="H165" i="6" s="1"/>
  <c r="M165" i="6" s="1"/>
  <c r="L215" i="6"/>
  <c r="K215" i="6"/>
  <c r="G215" i="6"/>
  <c r="H215" i="6" s="1"/>
  <c r="M215" i="6" s="1"/>
  <c r="L81" i="6"/>
  <c r="K81" i="6"/>
  <c r="G81" i="6"/>
  <c r="H81" i="6" s="1"/>
  <c r="M81" i="6" s="1"/>
  <c r="L120" i="6"/>
  <c r="K120" i="6"/>
  <c r="G120" i="6"/>
  <c r="H120" i="6" s="1"/>
  <c r="M120" i="6" s="1"/>
  <c r="L33" i="6"/>
  <c r="K33" i="6"/>
  <c r="G33" i="6"/>
  <c r="H33" i="6" s="1"/>
  <c r="M33" i="6" s="1"/>
  <c r="L36" i="6"/>
  <c r="K36" i="6"/>
  <c r="G36" i="6"/>
  <c r="H36" i="6" s="1"/>
  <c r="M36" i="6" s="1"/>
  <c r="L8" i="6"/>
  <c r="K8" i="6"/>
  <c r="G8" i="6"/>
  <c r="H8" i="6" s="1"/>
  <c r="M8" i="6" s="1"/>
  <c r="L29" i="6"/>
  <c r="K29" i="6"/>
  <c r="G29" i="6"/>
  <c r="H29" i="6" s="1"/>
  <c r="M29" i="6" s="1"/>
  <c r="L32" i="6"/>
  <c r="K32" i="6"/>
  <c r="G32" i="6"/>
  <c r="H32" i="6" s="1"/>
  <c r="M32" i="6" s="1"/>
  <c r="L10" i="6"/>
  <c r="K10" i="6"/>
  <c r="G10" i="6"/>
  <c r="H10" i="6" s="1"/>
  <c r="M10" i="6" s="1"/>
  <c r="L123" i="6"/>
  <c r="K123" i="6"/>
  <c r="G123" i="6"/>
  <c r="H123" i="6" s="1"/>
  <c r="M123" i="6" s="1"/>
  <c r="L40" i="6"/>
  <c r="K40" i="6"/>
  <c r="G40" i="6"/>
  <c r="H40" i="6" s="1"/>
  <c r="M40" i="6" s="1"/>
  <c r="L154" i="6"/>
  <c r="K154" i="6"/>
  <c r="G154" i="6"/>
  <c r="H154" i="6" s="1"/>
  <c r="M154" i="6" s="1"/>
  <c r="L3" i="6"/>
  <c r="K3" i="6"/>
  <c r="P3" i="6"/>
  <c r="L60" i="6"/>
  <c r="K60" i="6"/>
  <c r="G60" i="6"/>
  <c r="H60" i="6" s="1"/>
  <c r="M60" i="6" s="1"/>
  <c r="L138" i="6"/>
  <c r="K138" i="6"/>
  <c r="G138" i="6"/>
  <c r="H138" i="6" s="1"/>
  <c r="M138" i="6" s="1"/>
  <c r="L143" i="6"/>
  <c r="K143" i="6"/>
  <c r="G143" i="6"/>
  <c r="H143" i="6" s="1"/>
  <c r="M143" i="6" s="1"/>
  <c r="L49" i="6"/>
  <c r="K49" i="6"/>
  <c r="G49" i="6"/>
  <c r="H49" i="6" s="1"/>
  <c r="M49" i="6" s="1"/>
  <c r="L210" i="6"/>
  <c r="K210" i="6"/>
  <c r="G210" i="6"/>
  <c r="H210" i="6" s="1"/>
  <c r="M210" i="6" s="1"/>
  <c r="L101" i="6"/>
  <c r="K101" i="6"/>
  <c r="G101" i="6"/>
  <c r="H101" i="6" s="1"/>
  <c r="M101" i="6" s="1"/>
  <c r="L198" i="6"/>
  <c r="K198" i="6"/>
  <c r="G198" i="6"/>
  <c r="H198" i="6" s="1"/>
  <c r="M198" i="6" s="1"/>
  <c r="L119" i="6"/>
  <c r="K119" i="6"/>
  <c r="G119" i="6"/>
  <c r="H119" i="6" s="1"/>
  <c r="M119" i="6" s="1"/>
  <c r="L184" i="6"/>
  <c r="K184" i="6"/>
  <c r="L135" i="6"/>
  <c r="K135" i="6"/>
  <c r="G135" i="6"/>
  <c r="H135" i="6" s="1"/>
  <c r="M135" i="6" s="1"/>
  <c r="L128" i="6"/>
  <c r="K128" i="6"/>
  <c r="G128" i="6"/>
  <c r="H128" i="6" s="1"/>
  <c r="M128" i="6" s="1"/>
  <c r="L191" i="6"/>
  <c r="K191" i="6"/>
  <c r="G191" i="6"/>
  <c r="H191" i="6" s="1"/>
  <c r="M191" i="6" s="1"/>
  <c r="L202" i="6"/>
  <c r="K202" i="6"/>
  <c r="G202" i="6"/>
  <c r="H202" i="6" s="1"/>
  <c r="M202" i="6" s="1"/>
  <c r="L211" i="6"/>
  <c r="K211" i="6"/>
  <c r="G211" i="6"/>
  <c r="H211" i="6" s="1"/>
  <c r="M211" i="6" s="1"/>
  <c r="L136" i="6"/>
  <c r="K136" i="6"/>
  <c r="G136" i="6"/>
  <c r="H136" i="6" s="1"/>
  <c r="M136" i="6" s="1"/>
  <c r="L18" i="6"/>
  <c r="K18" i="6"/>
  <c r="G18" i="6"/>
  <c r="H18" i="6" s="1"/>
  <c r="M18" i="6" s="1"/>
  <c r="L46" i="6"/>
  <c r="K46" i="6"/>
  <c r="G46" i="6"/>
  <c r="H46" i="6" s="1"/>
  <c r="M46" i="6" s="1"/>
  <c r="L90" i="6"/>
  <c r="K90" i="6"/>
  <c r="G90" i="6"/>
  <c r="H90" i="6" s="1"/>
  <c r="M90" i="6" s="1"/>
  <c r="L144" i="6"/>
  <c r="K144" i="6"/>
  <c r="G144" i="6"/>
  <c r="H144" i="6" s="1"/>
  <c r="M144" i="6" s="1"/>
  <c r="L148" i="6"/>
  <c r="K148" i="6"/>
  <c r="L65" i="6"/>
  <c r="K65" i="6"/>
  <c r="G65" i="6"/>
  <c r="H65" i="6" s="1"/>
  <c r="M65" i="6" s="1"/>
  <c r="L43" i="6"/>
  <c r="K43" i="6"/>
  <c r="L89" i="6"/>
  <c r="K89" i="6"/>
  <c r="G89" i="6"/>
  <c r="H89" i="6" s="1"/>
  <c r="M89" i="6" s="1"/>
  <c r="L213" i="6"/>
  <c r="K213" i="6"/>
  <c r="G213" i="6"/>
  <c r="H213" i="6" s="1"/>
  <c r="M213" i="6" s="1"/>
  <c r="L182" i="6"/>
  <c r="K182" i="6"/>
  <c r="L105" i="6"/>
  <c r="K105" i="6"/>
  <c r="T3" i="5"/>
  <c r="J3" i="5"/>
  <c r="J216" i="2"/>
  <c r="M216" i="2" s="1"/>
  <c r="J215" i="2"/>
  <c r="M215" i="2" s="1"/>
  <c r="J214" i="2"/>
  <c r="M214" i="2" s="1"/>
  <c r="J3" i="2"/>
  <c r="O216" i="2" l="1"/>
  <c r="O215" i="2"/>
  <c r="O214" i="2"/>
  <c r="H3" i="6"/>
  <c r="M3" i="6" s="1"/>
  <c r="R3" i="6" s="1"/>
  <c r="N3" i="5"/>
  <c r="O3" i="5" s="1"/>
  <c r="P3" i="5" s="1"/>
  <c r="Q3" i="5" s="1"/>
  <c r="M3" i="2"/>
  <c r="O3" i="2" s="1"/>
  <c r="N3" i="2" s="1"/>
  <c r="J216" i="1"/>
  <c r="O216" i="1" s="1"/>
  <c r="J215" i="1"/>
  <c r="O215" i="1" s="1"/>
  <c r="J214" i="1"/>
  <c r="O214" i="1" s="1"/>
  <c r="J213" i="1"/>
  <c r="O213" i="1" s="1"/>
  <c r="J212" i="1"/>
  <c r="O212" i="1" s="1"/>
  <c r="J211" i="1"/>
  <c r="O211" i="1" s="1"/>
  <c r="J210" i="1"/>
  <c r="O210" i="1" s="1"/>
  <c r="J209" i="1"/>
  <c r="O209" i="1" s="1"/>
  <c r="J208" i="1"/>
  <c r="O208" i="1" s="1"/>
  <c r="J207" i="1"/>
  <c r="O207" i="1" s="1"/>
  <c r="J206" i="1"/>
  <c r="O206" i="1" s="1"/>
  <c r="J205" i="1"/>
  <c r="O205" i="1" s="1"/>
  <c r="J204" i="1"/>
  <c r="O204" i="1" s="1"/>
  <c r="J203" i="1"/>
  <c r="O203" i="1" s="1"/>
  <c r="J202" i="1"/>
  <c r="O202" i="1" s="1"/>
  <c r="J201" i="1"/>
  <c r="O201" i="1" s="1"/>
  <c r="J200" i="1"/>
  <c r="O200" i="1" s="1"/>
  <c r="J199" i="1"/>
  <c r="O199" i="1" s="1"/>
  <c r="J198" i="1"/>
  <c r="O198" i="1" s="1"/>
  <c r="J197" i="1"/>
  <c r="O197" i="1" s="1"/>
  <c r="J196" i="1"/>
  <c r="O196" i="1" s="1"/>
  <c r="J195" i="1"/>
  <c r="O195" i="1" s="1"/>
  <c r="J194" i="1"/>
  <c r="O194" i="1" s="1"/>
  <c r="J193" i="1"/>
  <c r="O193" i="1" s="1"/>
  <c r="J192" i="1"/>
  <c r="O192" i="1" s="1"/>
  <c r="J191" i="1"/>
  <c r="O191" i="1" s="1"/>
  <c r="J190" i="1"/>
  <c r="O190" i="1" s="1"/>
  <c r="J189" i="1"/>
  <c r="O189" i="1" s="1"/>
  <c r="J188" i="1"/>
  <c r="O188" i="1" s="1"/>
  <c r="J187" i="1"/>
  <c r="O187" i="1" s="1"/>
  <c r="J186" i="1"/>
  <c r="O186" i="1" s="1"/>
  <c r="J185" i="1"/>
  <c r="O185" i="1" s="1"/>
  <c r="J184" i="1"/>
  <c r="O184" i="1" s="1"/>
  <c r="J183" i="1"/>
  <c r="O183" i="1" s="1"/>
  <c r="J182" i="1"/>
  <c r="O182" i="1" s="1"/>
  <c r="J181" i="1"/>
  <c r="O181" i="1" s="1"/>
  <c r="J180" i="1"/>
  <c r="O180" i="1" s="1"/>
  <c r="J179" i="1"/>
  <c r="O179" i="1" s="1"/>
  <c r="J178" i="1"/>
  <c r="O178" i="1" s="1"/>
  <c r="J177" i="1"/>
  <c r="O177" i="1" s="1"/>
  <c r="J176" i="1"/>
  <c r="O176" i="1" s="1"/>
  <c r="J175" i="1"/>
  <c r="O175" i="1" s="1"/>
  <c r="J174" i="1"/>
  <c r="O174" i="1" s="1"/>
  <c r="J173" i="1"/>
  <c r="O173" i="1" s="1"/>
  <c r="J172" i="1"/>
  <c r="O172" i="1" s="1"/>
  <c r="J171" i="1"/>
  <c r="O171" i="1" s="1"/>
  <c r="J170" i="1"/>
  <c r="O170" i="1" s="1"/>
  <c r="J169" i="1"/>
  <c r="O169" i="1" s="1"/>
  <c r="J168" i="1"/>
  <c r="O168" i="1" s="1"/>
  <c r="J167" i="1"/>
  <c r="O167" i="1" s="1"/>
  <c r="J166" i="1"/>
  <c r="O166" i="1" s="1"/>
  <c r="J165" i="1"/>
  <c r="O165" i="1" s="1"/>
  <c r="J164" i="1"/>
  <c r="O164" i="1" s="1"/>
  <c r="J163" i="1"/>
  <c r="O163" i="1" s="1"/>
  <c r="J162" i="1"/>
  <c r="O162" i="1" s="1"/>
  <c r="J161" i="1"/>
  <c r="O161" i="1" s="1"/>
  <c r="J160" i="1"/>
  <c r="O160" i="1" s="1"/>
  <c r="J159" i="1"/>
  <c r="O159" i="1" s="1"/>
  <c r="J158" i="1"/>
  <c r="O158" i="1" s="1"/>
  <c r="J157" i="1"/>
  <c r="O157" i="1" s="1"/>
  <c r="J156" i="1"/>
  <c r="O156" i="1" s="1"/>
  <c r="J155" i="1"/>
  <c r="O155" i="1" s="1"/>
  <c r="J154" i="1"/>
  <c r="O154" i="1" s="1"/>
  <c r="J153" i="1"/>
  <c r="O153" i="1" s="1"/>
  <c r="J152" i="1"/>
  <c r="O152" i="1" s="1"/>
  <c r="J151" i="1"/>
  <c r="O151" i="1" s="1"/>
  <c r="J150" i="1"/>
  <c r="O150" i="1" s="1"/>
  <c r="J149" i="1"/>
  <c r="O149" i="1" s="1"/>
  <c r="J148" i="1"/>
  <c r="O148" i="1" s="1"/>
  <c r="J147" i="1"/>
  <c r="O147" i="1" s="1"/>
  <c r="J146" i="1"/>
  <c r="O146" i="1" s="1"/>
  <c r="J145" i="1"/>
  <c r="O145" i="1" s="1"/>
  <c r="J144" i="1"/>
  <c r="O144" i="1" s="1"/>
  <c r="J143" i="1"/>
  <c r="O143" i="1" s="1"/>
  <c r="J142" i="1"/>
  <c r="O142" i="1" s="1"/>
  <c r="J141" i="1"/>
  <c r="O141" i="1" s="1"/>
  <c r="J140" i="1"/>
  <c r="O140" i="1" s="1"/>
  <c r="J139" i="1"/>
  <c r="O139" i="1" s="1"/>
  <c r="J138" i="1"/>
  <c r="O138" i="1" s="1"/>
  <c r="J137" i="1"/>
  <c r="O137" i="1" s="1"/>
  <c r="J136" i="1"/>
  <c r="O136" i="1" s="1"/>
  <c r="J135" i="1"/>
  <c r="O135" i="1" s="1"/>
  <c r="J134" i="1"/>
  <c r="O134" i="1" s="1"/>
  <c r="J133" i="1"/>
  <c r="O133" i="1" s="1"/>
  <c r="J132" i="1"/>
  <c r="O132" i="1" s="1"/>
  <c r="J131" i="1"/>
  <c r="O131" i="1" s="1"/>
  <c r="J130" i="1"/>
  <c r="O130" i="1" s="1"/>
  <c r="J129" i="1"/>
  <c r="O129" i="1" s="1"/>
  <c r="J128" i="1"/>
  <c r="O128" i="1" s="1"/>
  <c r="J127" i="1"/>
  <c r="O127" i="1" s="1"/>
  <c r="J126" i="1"/>
  <c r="O126" i="1" s="1"/>
  <c r="J125" i="1"/>
  <c r="O125" i="1" s="1"/>
  <c r="J124" i="1"/>
  <c r="O124" i="1" s="1"/>
  <c r="J123" i="1"/>
  <c r="O123" i="1" s="1"/>
  <c r="J122" i="1"/>
  <c r="O122" i="1" s="1"/>
  <c r="J121" i="1"/>
  <c r="O121" i="1" s="1"/>
  <c r="J120" i="1"/>
  <c r="O120" i="1" s="1"/>
  <c r="J119" i="1"/>
  <c r="O119" i="1" s="1"/>
  <c r="J118" i="1"/>
  <c r="O118" i="1" s="1"/>
  <c r="J117" i="1"/>
  <c r="O117" i="1" s="1"/>
  <c r="J116" i="1"/>
  <c r="O116" i="1" s="1"/>
  <c r="J115" i="1"/>
  <c r="O115" i="1" s="1"/>
  <c r="J114" i="1"/>
  <c r="O114" i="1" s="1"/>
  <c r="J113" i="1"/>
  <c r="O113" i="1" s="1"/>
  <c r="J112" i="1"/>
  <c r="O112" i="1" s="1"/>
  <c r="J111" i="1"/>
  <c r="O111" i="1" s="1"/>
  <c r="J110" i="1"/>
  <c r="O110" i="1" s="1"/>
  <c r="J109" i="1"/>
  <c r="O109" i="1" s="1"/>
  <c r="J108" i="1"/>
  <c r="O108" i="1" s="1"/>
  <c r="J107" i="1"/>
  <c r="O107" i="1" s="1"/>
  <c r="J106" i="1"/>
  <c r="O106" i="1" s="1"/>
  <c r="J105" i="1"/>
  <c r="O105" i="1" s="1"/>
  <c r="J104" i="1"/>
  <c r="O104" i="1" s="1"/>
  <c r="J103" i="1"/>
  <c r="O103" i="1" s="1"/>
  <c r="J102" i="1"/>
  <c r="O102" i="1" s="1"/>
  <c r="J101" i="1"/>
  <c r="O101" i="1" s="1"/>
  <c r="J100" i="1"/>
  <c r="O100" i="1" s="1"/>
  <c r="J99" i="1"/>
  <c r="O99" i="1" s="1"/>
  <c r="J98" i="1"/>
  <c r="O98" i="1" s="1"/>
  <c r="J97" i="1"/>
  <c r="O97" i="1" s="1"/>
  <c r="J96" i="1"/>
  <c r="O96" i="1" s="1"/>
  <c r="J95" i="1"/>
  <c r="O95" i="1" s="1"/>
  <c r="J94" i="1"/>
  <c r="O94" i="1" s="1"/>
  <c r="J93" i="1"/>
  <c r="O93" i="1" s="1"/>
  <c r="J92" i="1"/>
  <c r="O92" i="1" s="1"/>
  <c r="J91" i="1"/>
  <c r="O91" i="1" s="1"/>
  <c r="J90" i="1"/>
  <c r="O90" i="1" s="1"/>
  <c r="J89" i="1"/>
  <c r="O89" i="1" s="1"/>
  <c r="J88" i="1"/>
  <c r="O88" i="1" s="1"/>
  <c r="J87" i="1"/>
  <c r="O87" i="1" s="1"/>
  <c r="J86" i="1"/>
  <c r="O86" i="1" s="1"/>
  <c r="J85" i="1"/>
  <c r="O85" i="1" s="1"/>
  <c r="J84" i="1"/>
  <c r="O84" i="1" s="1"/>
  <c r="J83" i="1"/>
  <c r="O83" i="1" s="1"/>
  <c r="J82" i="1"/>
  <c r="O82" i="1" s="1"/>
  <c r="J81" i="1"/>
  <c r="O81" i="1" s="1"/>
  <c r="J80" i="1"/>
  <c r="O80" i="1" s="1"/>
  <c r="J79" i="1"/>
  <c r="O79" i="1" s="1"/>
  <c r="J78" i="1"/>
  <c r="O78" i="1" s="1"/>
  <c r="J77" i="1"/>
  <c r="O77" i="1" s="1"/>
  <c r="J76" i="1"/>
  <c r="O76" i="1" s="1"/>
  <c r="J75" i="1"/>
  <c r="O75" i="1" s="1"/>
  <c r="J74" i="1"/>
  <c r="O74" i="1" s="1"/>
  <c r="J73" i="1"/>
  <c r="O73" i="1" s="1"/>
  <c r="J72" i="1"/>
  <c r="O72" i="1" s="1"/>
  <c r="J71" i="1"/>
  <c r="O71" i="1" s="1"/>
  <c r="J70" i="1"/>
  <c r="O70" i="1" s="1"/>
  <c r="J69" i="1"/>
  <c r="O69" i="1" s="1"/>
  <c r="J68" i="1"/>
  <c r="O68" i="1" s="1"/>
  <c r="J67" i="1"/>
  <c r="O67" i="1" s="1"/>
  <c r="J66" i="1"/>
  <c r="O66" i="1" s="1"/>
  <c r="J65" i="1"/>
  <c r="O65" i="1" s="1"/>
  <c r="J64" i="1"/>
  <c r="O64" i="1" s="1"/>
  <c r="J63" i="1"/>
  <c r="O63" i="1" s="1"/>
  <c r="J62" i="1"/>
  <c r="O62" i="1" s="1"/>
  <c r="J61" i="1"/>
  <c r="O61" i="1" s="1"/>
  <c r="J60" i="1"/>
  <c r="O60" i="1" s="1"/>
  <c r="J59" i="1"/>
  <c r="O59" i="1" s="1"/>
  <c r="J58" i="1"/>
  <c r="O58" i="1" s="1"/>
  <c r="J57" i="1"/>
  <c r="O57" i="1" s="1"/>
  <c r="J56" i="1"/>
  <c r="O56" i="1" s="1"/>
  <c r="J55" i="1"/>
  <c r="O55" i="1" s="1"/>
  <c r="J54" i="1"/>
  <c r="O54" i="1" s="1"/>
  <c r="J53" i="1"/>
  <c r="O53" i="1" s="1"/>
  <c r="J52" i="1"/>
  <c r="O52" i="1" s="1"/>
  <c r="J51" i="1"/>
  <c r="O51" i="1" s="1"/>
  <c r="J50" i="1"/>
  <c r="O50" i="1" s="1"/>
  <c r="J49" i="1"/>
  <c r="O49" i="1" s="1"/>
  <c r="J48" i="1"/>
  <c r="O48" i="1" s="1"/>
  <c r="J47" i="1"/>
  <c r="O47" i="1" s="1"/>
  <c r="J46" i="1"/>
  <c r="O46" i="1" s="1"/>
  <c r="J45" i="1"/>
  <c r="O45" i="1" s="1"/>
  <c r="J44" i="1"/>
  <c r="O44" i="1" s="1"/>
  <c r="J43" i="1"/>
  <c r="O43" i="1" s="1"/>
  <c r="J42" i="1"/>
  <c r="O42" i="1" s="1"/>
  <c r="J41" i="1"/>
  <c r="O41" i="1" s="1"/>
  <c r="J40" i="1"/>
  <c r="O40" i="1" s="1"/>
  <c r="J39" i="1"/>
  <c r="O39" i="1" s="1"/>
  <c r="J38" i="1"/>
  <c r="O38" i="1" s="1"/>
  <c r="J37" i="1"/>
  <c r="O37" i="1" s="1"/>
  <c r="J36" i="1"/>
  <c r="O36" i="1" s="1"/>
  <c r="J35" i="1"/>
  <c r="O35" i="1" s="1"/>
  <c r="J34" i="1"/>
  <c r="O34" i="1" s="1"/>
  <c r="J33" i="1"/>
  <c r="O33" i="1" s="1"/>
  <c r="J32" i="1"/>
  <c r="O32" i="1" s="1"/>
  <c r="J31" i="1"/>
  <c r="O31" i="1" s="1"/>
  <c r="J30" i="1"/>
  <c r="O30" i="1" s="1"/>
  <c r="J29" i="1"/>
  <c r="O29" i="1" s="1"/>
  <c r="J28" i="1"/>
  <c r="O28" i="1" s="1"/>
  <c r="J27" i="1"/>
  <c r="O27" i="1" s="1"/>
  <c r="J26" i="1"/>
  <c r="O26" i="1" s="1"/>
  <c r="J25" i="1"/>
  <c r="O25" i="1" s="1"/>
  <c r="J24" i="1"/>
  <c r="O24" i="1" s="1"/>
  <c r="J23" i="1"/>
  <c r="O23" i="1" s="1"/>
  <c r="J22" i="1"/>
  <c r="O22" i="1" s="1"/>
  <c r="J21" i="1"/>
  <c r="O21" i="1" s="1"/>
  <c r="J20" i="1"/>
  <c r="O20" i="1" s="1"/>
  <c r="J19" i="1"/>
  <c r="O19" i="1" s="1"/>
  <c r="J18" i="1"/>
  <c r="O18" i="1" s="1"/>
  <c r="J17" i="1"/>
  <c r="O17" i="1" s="1"/>
  <c r="J16" i="1"/>
  <c r="O16" i="1" s="1"/>
  <c r="J15" i="1"/>
  <c r="O15" i="1" s="1"/>
  <c r="J14" i="1"/>
  <c r="O14" i="1" s="1"/>
  <c r="J13" i="1"/>
  <c r="O13" i="1" s="1"/>
  <c r="J12" i="1"/>
  <c r="O12" i="1" s="1"/>
  <c r="J11" i="1"/>
  <c r="O11" i="1" s="1"/>
  <c r="J10" i="1"/>
  <c r="O10" i="1" s="1"/>
  <c r="J9" i="1"/>
  <c r="O9" i="1" s="1"/>
  <c r="J8" i="1"/>
  <c r="O8" i="1" s="1"/>
  <c r="J7" i="1"/>
  <c r="J6" i="1"/>
  <c r="O6" i="1" s="1"/>
  <c r="J5" i="1"/>
  <c r="O5" i="1" s="1"/>
  <c r="J4" i="1"/>
  <c r="J3" i="1"/>
  <c r="O3" i="1" s="1"/>
  <c r="N215" i="2" l="1"/>
  <c r="P215" i="2"/>
  <c r="Q215" i="2" s="1"/>
  <c r="P214" i="2"/>
  <c r="Q214" i="2" s="1"/>
  <c r="N214" i="2"/>
  <c r="P216" i="2"/>
  <c r="Q216" i="2" s="1"/>
  <c r="N216" i="2"/>
  <c r="U7" i="1"/>
  <c r="S7" i="1"/>
  <c r="T7" i="1"/>
  <c r="U15" i="1"/>
  <c r="T15" i="1"/>
  <c r="S15" i="1"/>
  <c r="U23" i="1"/>
  <c r="S23" i="1"/>
  <c r="T23" i="1"/>
  <c r="U31" i="1"/>
  <c r="T31" i="1"/>
  <c r="S31" i="1"/>
  <c r="U39" i="1"/>
  <c r="S39" i="1"/>
  <c r="T39" i="1"/>
  <c r="T51" i="1"/>
  <c r="U51" i="1"/>
  <c r="S51" i="1"/>
  <c r="U5" i="1"/>
  <c r="T5" i="1"/>
  <c r="S5" i="1"/>
  <c r="U9" i="1"/>
  <c r="T9" i="1"/>
  <c r="S9" i="1"/>
  <c r="U13" i="1"/>
  <c r="T13" i="1"/>
  <c r="S13" i="1"/>
  <c r="U17" i="1"/>
  <c r="T17" i="1"/>
  <c r="S17" i="1"/>
  <c r="U21" i="1"/>
  <c r="T21" i="1"/>
  <c r="S21" i="1"/>
  <c r="U25" i="1"/>
  <c r="T25" i="1"/>
  <c r="S25" i="1"/>
  <c r="U29" i="1"/>
  <c r="T29" i="1"/>
  <c r="S29" i="1"/>
  <c r="U33" i="1"/>
  <c r="T33" i="1"/>
  <c r="S33" i="1"/>
  <c r="U37" i="1"/>
  <c r="T37" i="1"/>
  <c r="S37" i="1"/>
  <c r="U41" i="1"/>
  <c r="T41" i="1"/>
  <c r="S41" i="1"/>
  <c r="U45" i="1"/>
  <c r="T45" i="1"/>
  <c r="S45" i="1"/>
  <c r="U49" i="1"/>
  <c r="T49" i="1"/>
  <c r="S49" i="1"/>
  <c r="U53" i="1"/>
  <c r="T53" i="1"/>
  <c r="S53" i="1"/>
  <c r="U57" i="1"/>
  <c r="T57" i="1"/>
  <c r="S57" i="1"/>
  <c r="U61" i="1"/>
  <c r="T61" i="1"/>
  <c r="S61" i="1"/>
  <c r="U65" i="1"/>
  <c r="T65" i="1"/>
  <c r="S65" i="1"/>
  <c r="U69" i="1"/>
  <c r="T69" i="1"/>
  <c r="S69" i="1"/>
  <c r="U73" i="1"/>
  <c r="T73" i="1"/>
  <c r="S73" i="1"/>
  <c r="U77" i="1"/>
  <c r="T77" i="1"/>
  <c r="S77" i="1"/>
  <c r="U81" i="1"/>
  <c r="T81" i="1"/>
  <c r="S81" i="1"/>
  <c r="U85" i="1"/>
  <c r="T85" i="1"/>
  <c r="S85" i="1"/>
  <c r="U89" i="1"/>
  <c r="T89" i="1"/>
  <c r="S89" i="1"/>
  <c r="U93" i="1"/>
  <c r="T93" i="1"/>
  <c r="S93" i="1"/>
  <c r="U97" i="1"/>
  <c r="T97" i="1"/>
  <c r="S97" i="1"/>
  <c r="U101" i="1"/>
  <c r="T101" i="1"/>
  <c r="S101" i="1"/>
  <c r="U105" i="1"/>
  <c r="T105" i="1"/>
  <c r="S105" i="1"/>
  <c r="U109" i="1"/>
  <c r="T109" i="1"/>
  <c r="S109" i="1"/>
  <c r="U113" i="1"/>
  <c r="T113" i="1"/>
  <c r="S113" i="1"/>
  <c r="U117" i="1"/>
  <c r="T117" i="1"/>
  <c r="S117" i="1"/>
  <c r="U121" i="1"/>
  <c r="T121" i="1"/>
  <c r="S121" i="1"/>
  <c r="U125" i="1"/>
  <c r="T125" i="1"/>
  <c r="S125" i="1"/>
  <c r="U129" i="1"/>
  <c r="T129" i="1"/>
  <c r="S129" i="1"/>
  <c r="U133" i="1"/>
  <c r="T133" i="1"/>
  <c r="S133" i="1"/>
  <c r="U137" i="1"/>
  <c r="T137" i="1"/>
  <c r="S137" i="1"/>
  <c r="U141" i="1"/>
  <c r="T141" i="1"/>
  <c r="S141" i="1"/>
  <c r="U145" i="1"/>
  <c r="T145" i="1"/>
  <c r="S145" i="1"/>
  <c r="U149" i="1"/>
  <c r="T149" i="1"/>
  <c r="S149" i="1"/>
  <c r="U153" i="1"/>
  <c r="T153" i="1"/>
  <c r="S153" i="1"/>
  <c r="U157" i="1"/>
  <c r="T157" i="1"/>
  <c r="S157" i="1"/>
  <c r="U161" i="1"/>
  <c r="T161" i="1"/>
  <c r="S161" i="1"/>
  <c r="U165" i="1"/>
  <c r="T165" i="1"/>
  <c r="S165" i="1"/>
  <c r="U169" i="1"/>
  <c r="T169" i="1"/>
  <c r="S169" i="1"/>
  <c r="U173" i="1"/>
  <c r="T173" i="1"/>
  <c r="S173" i="1"/>
  <c r="U177" i="1"/>
  <c r="T177" i="1"/>
  <c r="S177" i="1"/>
  <c r="U181" i="1"/>
  <c r="T181" i="1"/>
  <c r="S181" i="1"/>
  <c r="U185" i="1"/>
  <c r="T185" i="1"/>
  <c r="S185" i="1"/>
  <c r="U189" i="1"/>
  <c r="T189" i="1"/>
  <c r="S189" i="1"/>
  <c r="U193" i="1"/>
  <c r="T193" i="1"/>
  <c r="S193" i="1"/>
  <c r="U197" i="1"/>
  <c r="T197" i="1"/>
  <c r="S197" i="1"/>
  <c r="U201" i="1"/>
  <c r="T201" i="1"/>
  <c r="S201" i="1"/>
  <c r="U205" i="1"/>
  <c r="T205" i="1"/>
  <c r="S205" i="1"/>
  <c r="U209" i="1"/>
  <c r="T209" i="1"/>
  <c r="S209" i="1"/>
  <c r="U213" i="1"/>
  <c r="T213" i="1"/>
  <c r="S213" i="1"/>
  <c r="U6" i="1"/>
  <c r="T6" i="1"/>
  <c r="S6" i="1"/>
  <c r="T10" i="1"/>
  <c r="U10" i="1"/>
  <c r="S10" i="1"/>
  <c r="U14" i="1"/>
  <c r="T14" i="1"/>
  <c r="S14" i="1"/>
  <c r="U18" i="1"/>
  <c r="T18" i="1"/>
  <c r="S18" i="1"/>
  <c r="U22" i="1"/>
  <c r="T22" i="1"/>
  <c r="S22" i="1"/>
  <c r="T26" i="1"/>
  <c r="U26" i="1"/>
  <c r="S26" i="1"/>
  <c r="U30" i="1"/>
  <c r="T30" i="1"/>
  <c r="S30" i="1"/>
  <c r="T34" i="1"/>
  <c r="U34" i="1"/>
  <c r="S34" i="1"/>
  <c r="U38" i="1"/>
  <c r="T38" i="1"/>
  <c r="S38" i="1"/>
  <c r="T42" i="1"/>
  <c r="U42" i="1"/>
  <c r="S42" i="1"/>
  <c r="U46" i="1"/>
  <c r="T46" i="1"/>
  <c r="S46" i="1"/>
  <c r="U50" i="1"/>
  <c r="T50" i="1"/>
  <c r="S50" i="1"/>
  <c r="U54" i="1"/>
  <c r="T54" i="1"/>
  <c r="S54" i="1"/>
  <c r="T58" i="1"/>
  <c r="U58" i="1"/>
  <c r="S58" i="1"/>
  <c r="U62" i="1"/>
  <c r="T62" i="1"/>
  <c r="S62" i="1"/>
  <c r="T66" i="1"/>
  <c r="U66" i="1"/>
  <c r="S66" i="1"/>
  <c r="U70" i="1"/>
  <c r="T70" i="1"/>
  <c r="S70" i="1"/>
  <c r="T74" i="1"/>
  <c r="U74" i="1"/>
  <c r="S74" i="1"/>
  <c r="U78" i="1"/>
  <c r="T78" i="1"/>
  <c r="S78" i="1"/>
  <c r="U82" i="1"/>
  <c r="T82" i="1"/>
  <c r="S82" i="1"/>
  <c r="U86" i="1"/>
  <c r="T86" i="1"/>
  <c r="S86" i="1"/>
  <c r="T90" i="1"/>
  <c r="U90" i="1"/>
  <c r="S90" i="1"/>
  <c r="U94" i="1"/>
  <c r="T94" i="1"/>
  <c r="S94" i="1"/>
  <c r="T98" i="1"/>
  <c r="U98" i="1"/>
  <c r="S98" i="1"/>
  <c r="U102" i="1"/>
  <c r="T102" i="1"/>
  <c r="S102" i="1"/>
  <c r="T106" i="1"/>
  <c r="U106" i="1"/>
  <c r="S106" i="1"/>
  <c r="U110" i="1"/>
  <c r="T110" i="1"/>
  <c r="S110" i="1"/>
  <c r="U114" i="1"/>
  <c r="T114" i="1"/>
  <c r="S114" i="1"/>
  <c r="U118" i="1"/>
  <c r="T118" i="1"/>
  <c r="S118" i="1"/>
  <c r="T122" i="1"/>
  <c r="U122" i="1"/>
  <c r="S122" i="1"/>
  <c r="U126" i="1"/>
  <c r="T126" i="1"/>
  <c r="S126" i="1"/>
  <c r="T130" i="1"/>
  <c r="U130" i="1"/>
  <c r="S130" i="1"/>
  <c r="U134" i="1"/>
  <c r="T134" i="1"/>
  <c r="S134" i="1"/>
  <c r="U138" i="1"/>
  <c r="T138" i="1"/>
  <c r="S138" i="1"/>
  <c r="U142" i="1"/>
  <c r="T142" i="1"/>
  <c r="S142" i="1"/>
  <c r="T146" i="1"/>
  <c r="U146" i="1"/>
  <c r="S146" i="1"/>
  <c r="U150" i="1"/>
  <c r="T150" i="1"/>
  <c r="S150" i="1"/>
  <c r="U154" i="1"/>
  <c r="T154" i="1"/>
  <c r="S154" i="1"/>
  <c r="U158" i="1"/>
  <c r="T158" i="1"/>
  <c r="S158" i="1"/>
  <c r="T162" i="1"/>
  <c r="U162" i="1"/>
  <c r="S162" i="1"/>
  <c r="U166" i="1"/>
  <c r="T166" i="1"/>
  <c r="S166" i="1"/>
  <c r="U170" i="1"/>
  <c r="T170" i="1"/>
  <c r="S170" i="1"/>
  <c r="U174" i="1"/>
  <c r="T174" i="1"/>
  <c r="S174" i="1"/>
  <c r="T178" i="1"/>
  <c r="U178" i="1"/>
  <c r="S178" i="1"/>
  <c r="U182" i="1"/>
  <c r="T182" i="1"/>
  <c r="S182" i="1"/>
  <c r="U186" i="1"/>
  <c r="T186" i="1"/>
  <c r="S186" i="1"/>
  <c r="U190" i="1"/>
  <c r="T190" i="1"/>
  <c r="S190" i="1"/>
  <c r="T194" i="1"/>
  <c r="U194" i="1"/>
  <c r="S194" i="1"/>
  <c r="U198" i="1"/>
  <c r="T198" i="1"/>
  <c r="S198" i="1"/>
  <c r="U202" i="1"/>
  <c r="T202" i="1"/>
  <c r="S202" i="1"/>
  <c r="U206" i="1"/>
  <c r="T206" i="1"/>
  <c r="S206" i="1"/>
  <c r="T210" i="1"/>
  <c r="S210" i="1"/>
  <c r="U210" i="1"/>
  <c r="U214" i="1"/>
  <c r="T214" i="1"/>
  <c r="S214" i="1"/>
  <c r="T11" i="1"/>
  <c r="U11" i="1"/>
  <c r="S11" i="1"/>
  <c r="T19" i="1"/>
  <c r="U19" i="1"/>
  <c r="S19" i="1"/>
  <c r="U27" i="1"/>
  <c r="T27" i="1"/>
  <c r="S27" i="1"/>
  <c r="T35" i="1"/>
  <c r="U35" i="1"/>
  <c r="S35" i="1"/>
  <c r="T43" i="1"/>
  <c r="U43" i="1"/>
  <c r="S43" i="1"/>
  <c r="U47" i="1"/>
  <c r="T47" i="1"/>
  <c r="S47" i="1"/>
  <c r="U55" i="1"/>
  <c r="S55" i="1"/>
  <c r="T55" i="1"/>
  <c r="U59" i="1"/>
  <c r="S59" i="1"/>
  <c r="T59" i="1"/>
  <c r="U63" i="1"/>
  <c r="T63" i="1"/>
  <c r="S63" i="1"/>
  <c r="T67" i="1"/>
  <c r="U67" i="1"/>
  <c r="S67" i="1"/>
  <c r="U71" i="1"/>
  <c r="S71" i="1"/>
  <c r="T71" i="1"/>
  <c r="T75" i="1"/>
  <c r="U75" i="1"/>
  <c r="S75" i="1"/>
  <c r="U79" i="1"/>
  <c r="T79" i="1"/>
  <c r="S79" i="1"/>
  <c r="T83" i="1"/>
  <c r="U83" i="1"/>
  <c r="S83" i="1"/>
  <c r="U87" i="1"/>
  <c r="S87" i="1"/>
  <c r="T87" i="1"/>
  <c r="U91" i="1"/>
  <c r="T91" i="1"/>
  <c r="S91" i="1"/>
  <c r="U95" i="1"/>
  <c r="T95" i="1"/>
  <c r="S95" i="1"/>
  <c r="T99" i="1"/>
  <c r="U99" i="1"/>
  <c r="S99" i="1"/>
  <c r="U103" i="1"/>
  <c r="S103" i="1"/>
  <c r="T103" i="1"/>
  <c r="T107" i="1"/>
  <c r="U107" i="1"/>
  <c r="S107" i="1"/>
  <c r="U111" i="1"/>
  <c r="T111" i="1"/>
  <c r="S111" i="1"/>
  <c r="T115" i="1"/>
  <c r="S115" i="1"/>
  <c r="U115" i="1"/>
  <c r="U119" i="1"/>
  <c r="S119" i="1"/>
  <c r="T119" i="1"/>
  <c r="U123" i="1"/>
  <c r="S123" i="1"/>
  <c r="T123" i="1"/>
  <c r="U127" i="1"/>
  <c r="T127" i="1"/>
  <c r="S127" i="1"/>
  <c r="T131" i="1"/>
  <c r="U131" i="1"/>
  <c r="S131" i="1"/>
  <c r="T135" i="1"/>
  <c r="U135" i="1"/>
  <c r="S135" i="1"/>
  <c r="T139" i="1"/>
  <c r="U139" i="1"/>
  <c r="S139" i="1"/>
  <c r="T143" i="1"/>
  <c r="U143" i="1"/>
  <c r="S143" i="1"/>
  <c r="T147" i="1"/>
  <c r="U147" i="1"/>
  <c r="S147" i="1"/>
  <c r="T151" i="1"/>
  <c r="U151" i="1"/>
  <c r="S151" i="1"/>
  <c r="T155" i="1"/>
  <c r="U155" i="1"/>
  <c r="S155" i="1"/>
  <c r="T159" i="1"/>
  <c r="U159" i="1"/>
  <c r="S159" i="1"/>
  <c r="T163" i="1"/>
  <c r="U163" i="1"/>
  <c r="S163" i="1"/>
  <c r="T167" i="1"/>
  <c r="U167" i="1"/>
  <c r="S167" i="1"/>
  <c r="T171" i="1"/>
  <c r="U171" i="1"/>
  <c r="S171" i="1"/>
  <c r="T175" i="1"/>
  <c r="U175" i="1"/>
  <c r="S175" i="1"/>
  <c r="T179" i="1"/>
  <c r="S179" i="1"/>
  <c r="U179" i="1"/>
  <c r="T183" i="1"/>
  <c r="U183" i="1"/>
  <c r="S183" i="1"/>
  <c r="T187" i="1"/>
  <c r="U187" i="1"/>
  <c r="S187" i="1"/>
  <c r="T191" i="1"/>
  <c r="U191" i="1"/>
  <c r="S191" i="1"/>
  <c r="T195" i="1"/>
  <c r="U195" i="1"/>
  <c r="S195" i="1"/>
  <c r="T199" i="1"/>
  <c r="U199" i="1"/>
  <c r="S199" i="1"/>
  <c r="T203" i="1"/>
  <c r="U203" i="1"/>
  <c r="S203" i="1"/>
  <c r="T207" i="1"/>
  <c r="U207" i="1"/>
  <c r="S207" i="1"/>
  <c r="U211" i="1"/>
  <c r="T211" i="1"/>
  <c r="S211" i="1"/>
  <c r="T215" i="1"/>
  <c r="U215" i="1"/>
  <c r="S215" i="1"/>
  <c r="U4" i="1"/>
  <c r="T4" i="1"/>
  <c r="S4" i="1"/>
  <c r="U8" i="1"/>
  <c r="T8" i="1"/>
  <c r="S8" i="1"/>
  <c r="U12" i="1"/>
  <c r="T12" i="1"/>
  <c r="S12" i="1"/>
  <c r="U16" i="1"/>
  <c r="T16" i="1"/>
  <c r="S16" i="1"/>
  <c r="U20" i="1"/>
  <c r="T20" i="1"/>
  <c r="S20" i="1"/>
  <c r="U24" i="1"/>
  <c r="T24" i="1"/>
  <c r="S24" i="1"/>
  <c r="U28" i="1"/>
  <c r="T28" i="1"/>
  <c r="S28" i="1"/>
  <c r="U32" i="1"/>
  <c r="T32" i="1"/>
  <c r="S32" i="1"/>
  <c r="U36" i="1"/>
  <c r="T36" i="1"/>
  <c r="S36" i="1"/>
  <c r="U40" i="1"/>
  <c r="T40" i="1"/>
  <c r="S40" i="1"/>
  <c r="U44" i="1"/>
  <c r="T44" i="1"/>
  <c r="S44" i="1"/>
  <c r="U48" i="1"/>
  <c r="T48" i="1"/>
  <c r="S48" i="1"/>
  <c r="U52" i="1"/>
  <c r="T52" i="1"/>
  <c r="S52" i="1"/>
  <c r="U56" i="1"/>
  <c r="T56" i="1"/>
  <c r="S56" i="1"/>
  <c r="U60" i="1"/>
  <c r="T60" i="1"/>
  <c r="S60" i="1"/>
  <c r="U64" i="1"/>
  <c r="T64" i="1"/>
  <c r="S64" i="1"/>
  <c r="U68" i="1"/>
  <c r="T68" i="1"/>
  <c r="S68" i="1"/>
  <c r="U72" i="1"/>
  <c r="T72" i="1"/>
  <c r="S72" i="1"/>
  <c r="U76" i="1"/>
  <c r="T76" i="1"/>
  <c r="S76" i="1"/>
  <c r="U80" i="1"/>
  <c r="T80" i="1"/>
  <c r="S80" i="1"/>
  <c r="U84" i="1"/>
  <c r="T84" i="1"/>
  <c r="S84" i="1"/>
  <c r="U88" i="1"/>
  <c r="T88" i="1"/>
  <c r="S88" i="1"/>
  <c r="U92" i="1"/>
  <c r="T92" i="1"/>
  <c r="S92" i="1"/>
  <c r="U96" i="1"/>
  <c r="T96" i="1"/>
  <c r="S96" i="1"/>
  <c r="U100" i="1"/>
  <c r="T100" i="1"/>
  <c r="S100" i="1"/>
  <c r="U104" i="1"/>
  <c r="T104" i="1"/>
  <c r="S104" i="1"/>
  <c r="U108" i="1"/>
  <c r="T108" i="1"/>
  <c r="S108" i="1"/>
  <c r="U112" i="1"/>
  <c r="T112" i="1"/>
  <c r="S112" i="1"/>
  <c r="U116" i="1"/>
  <c r="T116" i="1"/>
  <c r="S116" i="1"/>
  <c r="U120" i="1"/>
  <c r="T120" i="1"/>
  <c r="S120" i="1"/>
  <c r="U124" i="1"/>
  <c r="T124" i="1"/>
  <c r="S124" i="1"/>
  <c r="U128" i="1"/>
  <c r="T128" i="1"/>
  <c r="S128" i="1"/>
  <c r="U132" i="1"/>
  <c r="T132" i="1"/>
  <c r="S132" i="1"/>
  <c r="U136" i="1"/>
  <c r="T136" i="1"/>
  <c r="S136" i="1"/>
  <c r="U140" i="1"/>
  <c r="T140" i="1"/>
  <c r="S140" i="1"/>
  <c r="U144" i="1"/>
  <c r="T144" i="1"/>
  <c r="S144" i="1"/>
  <c r="U148" i="1"/>
  <c r="T148" i="1"/>
  <c r="S148" i="1"/>
  <c r="U152" i="1"/>
  <c r="T152" i="1"/>
  <c r="S152" i="1"/>
  <c r="U156" i="1"/>
  <c r="T156" i="1"/>
  <c r="S156" i="1"/>
  <c r="U160" i="1"/>
  <c r="T160" i="1"/>
  <c r="S160" i="1"/>
  <c r="U164" i="1"/>
  <c r="T164" i="1"/>
  <c r="S164" i="1"/>
  <c r="U168" i="1"/>
  <c r="T168" i="1"/>
  <c r="S168" i="1"/>
  <c r="U172" i="1"/>
  <c r="T172" i="1"/>
  <c r="S172" i="1"/>
  <c r="U176" i="1"/>
  <c r="T176" i="1"/>
  <c r="S176" i="1"/>
  <c r="U180" i="1"/>
  <c r="T180" i="1"/>
  <c r="S180" i="1"/>
  <c r="U184" i="1"/>
  <c r="T184" i="1"/>
  <c r="S184" i="1"/>
  <c r="U188" i="1"/>
  <c r="T188" i="1"/>
  <c r="S188" i="1"/>
  <c r="U192" i="1"/>
  <c r="T192" i="1"/>
  <c r="S192" i="1"/>
  <c r="U196" i="1"/>
  <c r="T196" i="1"/>
  <c r="S196" i="1"/>
  <c r="U200" i="1"/>
  <c r="T200" i="1"/>
  <c r="S200" i="1"/>
  <c r="U204" i="1"/>
  <c r="T204" i="1"/>
  <c r="S204" i="1"/>
  <c r="T208" i="1"/>
  <c r="U208" i="1"/>
  <c r="S208" i="1"/>
  <c r="U212" i="1"/>
  <c r="T212" i="1"/>
  <c r="S212" i="1"/>
  <c r="U216" i="1"/>
  <c r="T216" i="1"/>
  <c r="S216" i="1"/>
  <c r="P3" i="2"/>
  <c r="Q3" i="2" s="1"/>
  <c r="U3" i="5"/>
  <c r="V3" i="5"/>
  <c r="W3" i="5"/>
  <c r="Q3" i="6"/>
  <c r="S3" i="6"/>
  <c r="T3" i="1"/>
  <c r="U3" i="1"/>
  <c r="S3" i="1"/>
  <c r="U215" i="2" l="1"/>
  <c r="W215" i="2"/>
  <c r="V215" i="2"/>
  <c r="W214" i="2"/>
  <c r="V214" i="2"/>
  <c r="U214" i="2"/>
  <c r="U216" i="2"/>
  <c r="W216" i="2"/>
  <c r="V216" i="2"/>
  <c r="U3" i="2"/>
  <c r="V3" i="2"/>
  <c r="W3" i="2"/>
</calcChain>
</file>

<file path=xl/comments1.xml><?xml version="1.0" encoding="utf-8"?>
<comments xmlns="http://schemas.openxmlformats.org/spreadsheetml/2006/main">
  <authors>
    <author>Annika Marxen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Annahme: CCA costs</t>
        </r>
      </text>
    </comment>
    <comment ref="F50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Annahme: CCA costs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Annahme: N Africa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Annahme: Oceania (High Income Country, low costs)</t>
        </r>
      </text>
    </comment>
    <comment ref="F95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Annahme: Wie United Arab Emirates (High Income non OECD country)</t>
        </r>
      </text>
    </comment>
    <comment ref="F98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 : Oceania (High Income Country , low costs)</t>
        </r>
      </text>
    </comment>
    <comment ref="F102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 : Oceania 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Annahme: CCA costs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Annahme: CCA costs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 : Oceania (High Income Country , low costs)</t>
        </r>
      </text>
    </comment>
    <comment ref="F125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 : Oceania </t>
        </r>
      </text>
    </comment>
    <comment ref="F129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 : Oceania </t>
        </r>
      </text>
    </comment>
    <comment ref="F130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Annahme: CCA costs</t>
        </r>
      </text>
    </comment>
    <comment ref="F133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Annahme: CCA costs</t>
        </r>
      </text>
    </comment>
    <comment ref="F140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 : Oceania (High Income Country , low costs)</t>
        </r>
      </text>
    </comment>
    <comment ref="F141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 : Oceania (High Income Country , low costs)</t>
        </r>
      </text>
    </comment>
    <comment ref="F145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 : Oceania (High Income Country , low costs)</t>
        </r>
      </text>
    </comment>
    <comment ref="F160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Annahme: CCA costs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Annahme: CCA costs</t>
        </r>
      </text>
    </comment>
  </commentList>
</comments>
</file>

<file path=xl/comments2.xml><?xml version="1.0" encoding="utf-8"?>
<comments xmlns="http://schemas.openxmlformats.org/spreadsheetml/2006/main">
  <authors>
    <author>Annika Marxen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Annika Marxen:</t>
        </r>
        <r>
          <rPr>
            <sz val="9"/>
            <color indexed="81"/>
            <rFont val="Tahoma"/>
            <family val="2"/>
          </rPr>
          <t xml:space="preserve">
by assumptiom
</t>
        </r>
      </text>
    </comment>
  </commentList>
</comments>
</file>

<file path=xl/sharedStrings.xml><?xml version="1.0" encoding="utf-8"?>
<sst xmlns="http://schemas.openxmlformats.org/spreadsheetml/2006/main" count="7336" uniqueCount="570">
  <si>
    <t>Electricity</t>
  </si>
  <si>
    <t>Country Name</t>
  </si>
  <si>
    <t>Country Code</t>
  </si>
  <si>
    <t>Income Group</t>
  </si>
  <si>
    <t>Region</t>
  </si>
  <si>
    <t xml:space="preserve"> total population 2010</t>
  </si>
  <si>
    <t>total population 2030</t>
  </si>
  <si>
    <t>deflator</t>
  </si>
  <si>
    <t>costs/new connection 2010 USD</t>
  </si>
  <si>
    <t>% with access 2010 WDI (urban+rural)</t>
  </si>
  <si>
    <t>pop w/o access in 2030</t>
  </si>
  <si>
    <t>recurrent costs (O&amp;M) [% of total costs] ! included in total costs !</t>
  </si>
  <si>
    <t>Afghanistan</t>
  </si>
  <si>
    <t>AFG</t>
  </si>
  <si>
    <t>Low income</t>
  </si>
  <si>
    <t>South Asia</t>
  </si>
  <si>
    <t>Albania</t>
  </si>
  <si>
    <t>ALB</t>
  </si>
  <si>
    <t>Upper middle income</t>
  </si>
  <si>
    <t>Europe &amp; Central Asia</t>
  </si>
  <si>
    <t>Algeria</t>
  </si>
  <si>
    <t>DZA</t>
  </si>
  <si>
    <t>Middle East &amp; North Africa</t>
  </si>
  <si>
    <t>North Africa</t>
  </si>
  <si>
    <t>American Samoa</t>
  </si>
  <si>
    <t>ASM</t>
  </si>
  <si>
    <t>East Asia &amp; Pacific</t>
  </si>
  <si>
    <t>Andorra</t>
  </si>
  <si>
    <t>ADO</t>
  </si>
  <si>
    <t>High income: nonOECD</t>
  </si>
  <si>
    <t>Angola</t>
  </si>
  <si>
    <t>AGO</t>
  </si>
  <si>
    <t>Sub-Saharan Africa</t>
  </si>
  <si>
    <t>Antigua and Barbuda</t>
  </si>
  <si>
    <t>ATG</t>
  </si>
  <si>
    <t>Latin America &amp; Caribbean</t>
  </si>
  <si>
    <t>Argentina</t>
  </si>
  <si>
    <t>ARG</t>
  </si>
  <si>
    <t>Armenia</t>
  </si>
  <si>
    <t>ARM</t>
  </si>
  <si>
    <t>Lower middle income</t>
  </si>
  <si>
    <t>Aruba</t>
  </si>
  <si>
    <t>ABW</t>
  </si>
  <si>
    <t>Australia</t>
  </si>
  <si>
    <t>AUS</t>
  </si>
  <si>
    <t>High income: OECD</t>
  </si>
  <si>
    <t>Austria</t>
  </si>
  <si>
    <t>AUT</t>
  </si>
  <si>
    <t>Azerbaijan</t>
  </si>
  <si>
    <t>AZE</t>
  </si>
  <si>
    <t>Bahamas, The</t>
  </si>
  <si>
    <t>BHS</t>
  </si>
  <si>
    <t>Bahrain</t>
  </si>
  <si>
    <t>BHR</t>
  </si>
  <si>
    <t>Middle East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</si>
  <si>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</si>
  <si>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</si>
  <si>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</si>
  <si>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</si>
  <si>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</si>
  <si>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</si>
  <si>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</si>
  <si>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</si>
  <si>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</si>
  <si>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</si>
  <si>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</si>
  <si>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</si>
  <si>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</si>
  <si>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</si>
  <si>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North America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</si>
  <si>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</si>
  <si>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</si>
  <si>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</si>
  <si>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</si>
  <si>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</si>
  <si>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</si>
  <si>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</si>
  <si>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</si>
  <si>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</si>
  <si>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</si>
  <si>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</si>
  <si>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</si>
  <si>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</si>
  <si>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</si>
  <si>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</si>
  <si>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</si>
  <si>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</si>
  <si>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</si>
  <si>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</si>
  <si>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</si>
  <si>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</si>
  <si>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</si>
  <si>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</si>
  <si>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</si>
  <si>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</si>
  <si>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</si>
  <si>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Cayman Islands</t>
  </si>
  <si>
    <t>CYM</t>
  </si>
  <si>
    <t>Central African Republic</t>
  </si>
  <si>
    <t>CAF</t>
  </si>
  <si>
    <t>Chad</t>
  </si>
  <si>
    <t>TCD</t>
  </si>
  <si>
    <t>Channel Islands</t>
  </si>
  <si>
    <t>CHI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</si>
  <si>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</si>
  <si>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</si>
  <si>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</si>
  <si>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</si>
  <si>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</si>
  <si>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</si>
  <si>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</si>
  <si>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</si>
  <si>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Congo, Dem. Rep.</t>
  </si>
  <si>
    <t>ZAR</t>
  </si>
  <si>
    <t>Congo, Rep.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</si>
  <si>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</si>
  <si>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</si>
  <si>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</si>
  <si>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</si>
  <si>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</si>
  <si>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</si>
  <si>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</si>
  <si>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</si>
  <si>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</si>
  <si>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Curacao</t>
  </si>
  <si>
    <t>CUW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</si>
  <si>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</si>
  <si>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</si>
  <si>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</si>
  <si>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</si>
  <si>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</si>
  <si>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</si>
  <si>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</si>
  <si>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</si>
  <si>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</si>
  <si>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</si>
  <si>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</si>
  <si>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</si>
  <si>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</si>
  <si>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</si>
  <si>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Egypt, Arab Rep.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</si>
  <si>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</si>
  <si>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</si>
  <si>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</si>
  <si>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</si>
  <si>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</si>
  <si>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</si>
  <si>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</si>
  <si>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</si>
  <si>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</si>
  <si>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</si>
  <si>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</si>
  <si>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Faeroe Islands</t>
  </si>
  <si>
    <t>FRO</t>
  </si>
  <si>
    <t>Fiji</t>
  </si>
  <si>
    <t>FJI</t>
  </si>
  <si>
    <t>Finland</t>
  </si>
  <si>
    <t>FIN</t>
  </si>
  <si>
    <t>France</t>
  </si>
  <si>
    <t>FRA</t>
  </si>
  <si>
    <t>French Polynesia</t>
  </si>
  <si>
    <t>PYF</t>
  </si>
  <si>
    <t>Gabon</t>
  </si>
  <si>
    <t>GAB</t>
  </si>
  <si>
    <t>Gambia, The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</si>
  <si>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</si>
  <si>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</si>
  <si>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</si>
  <si>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</si>
  <si>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</si>
  <si>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</si>
  <si>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</si>
  <si>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</si>
  <si>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</si>
  <si>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Greenland</t>
  </si>
  <si>
    <t>GRL</t>
  </si>
  <si>
    <t>Grenada</t>
  </si>
  <si>
    <t>GRD</t>
  </si>
  <si>
    <t>Guam</t>
  </si>
  <si>
    <t>GUM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</si>
  <si>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</si>
  <si>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</si>
  <si>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</si>
  <si>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</si>
  <si>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</si>
  <si>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</si>
  <si>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</si>
  <si>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</si>
  <si>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</si>
  <si>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</si>
  <si>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</si>
  <si>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</si>
  <si>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 SAR,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</si>
  <si>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</si>
  <si>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</si>
  <si>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</si>
  <si>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</si>
  <si>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</si>
  <si>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</si>
  <si>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</si>
  <si>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</si>
  <si>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</si>
  <si>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Rep.</t>
  </si>
  <si>
    <t>IRN</t>
  </si>
  <si>
    <t>Iraq</t>
  </si>
  <si>
    <t>IRQ</t>
  </si>
  <si>
    <t>Ireland</t>
  </si>
  <si>
    <t>IRL</t>
  </si>
  <si>
    <t>Isle of Man</t>
  </si>
  <si>
    <t>IMY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</si>
  <si>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</si>
  <si>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</si>
  <si>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</si>
  <si>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</si>
  <si>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</si>
  <si>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</si>
  <si>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</si>
  <si>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</si>
  <si>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</si>
  <si>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</si>
  <si>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</si>
  <si>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</si>
  <si>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</si>
  <si>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</si>
  <si>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</si>
  <si>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</si>
  <si>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Dem. Rep.</t>
  </si>
  <si>
    <t>PRK</t>
  </si>
  <si>
    <t>Korea, Rep.</t>
  </si>
  <si>
    <t>KOR</t>
  </si>
  <si>
    <t>Kosovo</t>
  </si>
  <si>
    <t>KSV</t>
  </si>
  <si>
    <t>N/A</t>
  </si>
  <si>
    <t>Kuwait</t>
  </si>
  <si>
    <t>KWT</t>
  </si>
  <si>
    <t>Kyrgyz Republic</t>
  </si>
  <si>
    <t>KGZ</t>
  </si>
  <si>
    <t>Lao PDR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</si>
  <si>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</si>
  <si>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</si>
  <si>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</si>
  <si>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</si>
  <si>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</si>
  <si>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</si>
  <si>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</si>
  <si>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</si>
  <si>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</si>
  <si>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</si>
  <si>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</si>
  <si>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</si>
  <si>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</si>
  <si>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</si>
  <si>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</si>
  <si>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</si>
  <si>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</si>
  <si>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Macao SAR, China</t>
  </si>
  <si>
    <t>MAC</t>
  </si>
  <si>
    <t>Macedonia, FYR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</si>
  <si>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</si>
  <si>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</si>
  <si>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</si>
  <si>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</si>
  <si>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</si>
  <si>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</si>
  <si>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</si>
  <si>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</si>
  <si>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</si>
  <si>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</si>
  <si>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</si>
  <si>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</si>
  <si>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</si>
  <si>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</si>
  <si>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</si>
  <si>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</si>
  <si>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</si>
  <si>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</si>
  <si>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</si>
  <si>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</si>
  <si>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MEX</t>
  </si>
  <si>
    <t>Micronesia, Fed. Sts.</t>
  </si>
  <si>
    <t>FSM</t>
  </si>
  <si>
    <t>Moldova</t>
  </si>
  <si>
    <t>MDA</t>
  </si>
  <si>
    <t>Monaco</t>
  </si>
  <si>
    <t>MCO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</si>
  <si>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</si>
  <si>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</si>
  <si>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</si>
  <si>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</si>
  <si>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</si>
  <si>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</si>
  <si>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</si>
  <si>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</si>
  <si>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</si>
  <si>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</si>
  <si>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</si>
  <si>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</si>
  <si>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</si>
  <si>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</si>
  <si>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</si>
  <si>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</si>
  <si>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</si>
  <si>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</si>
  <si>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</si>
  <si>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</si>
  <si>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</si>
  <si>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</si>
  <si>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</si>
  <si>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</si>
  <si>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</si>
  <si>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</si>
  <si>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Northern Mariana Islands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</si>
  <si>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</si>
  <si>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</si>
  <si>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</si>
  <si>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</si>
  <si>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</si>
  <si>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</si>
  <si>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</si>
  <si>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</si>
  <si>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</si>
  <si>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</si>
  <si>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</si>
  <si>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</si>
  <si>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</si>
  <si>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</si>
  <si>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</si>
  <si>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</si>
  <si>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</si>
  <si>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</si>
  <si>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</si>
  <si>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</si>
  <si>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</si>
  <si>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</si>
  <si>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</si>
  <si>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</si>
  <si>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</si>
  <si>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</si>
  <si>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</si>
  <si>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</si>
  <si>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ROM</t>
  </si>
  <si>
    <t>Russian Federation</t>
  </si>
  <si>
    <t>RUS</t>
  </si>
  <si>
    <t>Rwanda</t>
  </si>
  <si>
    <t>RWA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</si>
  <si>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</si>
  <si>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</si>
  <si>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</si>
  <si>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</si>
  <si>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</si>
  <si>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</si>
  <si>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</si>
  <si>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</si>
  <si>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</si>
  <si>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</si>
  <si>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</si>
  <si>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</si>
  <si>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</si>
  <si>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</si>
  <si>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</si>
  <si>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</si>
  <si>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</si>
  <si>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</si>
  <si>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Sint Maarten (Dutch part)</t>
  </si>
  <si>
    <t>SXM</t>
  </si>
  <si>
    <t>Slovak Republic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</si>
  <si>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</si>
  <si>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</si>
  <si>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</si>
  <si>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</si>
  <si>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</si>
  <si>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</si>
  <si>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</si>
  <si>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</si>
  <si>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</si>
  <si>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</si>
  <si>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</si>
  <si>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</si>
  <si>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</si>
  <si>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</si>
  <si>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</si>
  <si>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St. Kitts and Nevis</t>
  </si>
  <si>
    <t>KNA</t>
  </si>
  <si>
    <t>St. Lucia</t>
  </si>
  <si>
    <t>LCA</t>
  </si>
  <si>
    <t>St. Martin (French part)</t>
  </si>
  <si>
    <t>MAF</t>
  </si>
  <si>
    <t>St. Vincent and the Grenadines</t>
  </si>
  <si>
    <t>VCT</t>
  </si>
  <si>
    <t>Sudan</t>
  </si>
  <si>
    <t>SDN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</si>
  <si>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</si>
  <si>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</si>
  <si>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</si>
  <si>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</si>
  <si>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</si>
  <si>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</si>
  <si>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</si>
  <si>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</si>
  <si>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</si>
  <si>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</si>
  <si>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</si>
  <si>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</si>
  <si>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Tanzania</t>
  </si>
  <si>
    <t>TZA</t>
  </si>
  <si>
    <t>Thailand</t>
  </si>
  <si>
    <t>THA</t>
  </si>
  <si>
    <t>Timor-Leste</t>
  </si>
  <si>
    <t>TMP</t>
  </si>
  <si>
    <t>Togo</t>
  </si>
  <si>
    <t>TGO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</si>
  <si>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</si>
  <si>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</si>
  <si>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</si>
  <si>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</si>
  <si>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</si>
  <si>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</si>
  <si>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</si>
  <si>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</si>
  <si>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</si>
  <si>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</si>
  <si>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</si>
  <si>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</si>
  <si>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</si>
  <si>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</si>
  <si>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</si>
  <si>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</si>
  <si>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</si>
  <si>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</si>
  <si>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</si>
  <si>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</si>
  <si>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</si>
  <si>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</si>
  <si>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</si>
  <si>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</si>
  <si>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</si>
  <si>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</si>
  <si>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</si>
  <si>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</si>
  <si>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</si>
  <si>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</si>
  <si>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Venezuela, RB</t>
  </si>
  <si>
    <t>VEN</t>
  </si>
  <si>
    <t>Vietnam</t>
  </si>
  <si>
    <t>VNM</t>
  </si>
  <si>
    <t>Virgin Islands (U.S.)</t>
  </si>
  <si>
    <t>VIR</t>
  </si>
  <si>
    <t>West Bank and Gaza</t>
  </si>
  <si>
    <t>WBG</t>
  </si>
  <si>
    <t>Yemen, Rep.</t>
  </si>
  <si>
    <t>YEM</t>
  </si>
  <si>
    <t>Zambia</t>
  </si>
  <si>
    <t>ZMB</t>
  </si>
  <si>
    <t>Zimbabwe</t>
  </si>
  <si>
    <t>ZWE</t>
  </si>
  <si>
    <t>total population 2010</t>
  </si>
  <si>
    <t>regional split (NA/ME)</t>
  </si>
  <si>
    <t xml:space="preserve"> costs per new rural connection ($/capita) by 2030 in 2005 USD</t>
  </si>
  <si>
    <t xml:space="preserve">Water </t>
  </si>
  <si>
    <t>MDG Region</t>
  </si>
  <si>
    <t>Improved water source (% of population with access) 2010</t>
  </si>
  <si>
    <t>total population w/o improved water source 2030</t>
  </si>
  <si>
    <t>recurrent costs [% of total costs]</t>
  </si>
  <si>
    <t>global recurrent costs 2010-2015</t>
  </si>
  <si>
    <t>recurrent costs 2015-2030</t>
  </si>
  <si>
    <t>S Asia</t>
  </si>
  <si>
    <t>N Africa</t>
  </si>
  <si>
    <t>SSA</t>
  </si>
  <si>
    <t>LAC</t>
  </si>
  <si>
    <t>CCA</t>
  </si>
  <si>
    <t>NA</t>
  </si>
  <si>
    <t>SE Asia</t>
  </si>
  <si>
    <t>E Asia</t>
  </si>
  <si>
    <t>Oceania</t>
  </si>
  <si>
    <t>W Asia</t>
  </si>
  <si>
    <t>total costs</t>
  </si>
  <si>
    <t>total costs to achieve universal access ($/capita) by 2030 in 2010 USD from Hutton et al. Annex D</t>
  </si>
  <si>
    <t>Sanitation</t>
  </si>
  <si>
    <t>Country</t>
  </si>
  <si>
    <t>Income group</t>
  </si>
  <si>
    <t>Improved sanitation facilities (% of population with access) 2010</t>
  </si>
  <si>
    <t>total population w/o improved sanitation 2030</t>
  </si>
  <si>
    <t>MDG Region by assumption</t>
  </si>
  <si>
    <t>total costs to achieve universal access ($/capita) from Hutton et al. Annex C in 2010 USD</t>
  </si>
  <si>
    <t>MDG regional average costs</t>
  </si>
  <si>
    <t>global recurrent costs 2010-2015 (ca. 8%)</t>
  </si>
  <si>
    <t>total costs (incl. recurrent)</t>
  </si>
  <si>
    <t>ICT</t>
  </si>
  <si>
    <t>Population 2030</t>
  </si>
  <si>
    <t>w/o access (% of total population) !regional averages!</t>
  </si>
  <si>
    <t xml:space="preserve">total population w/o access </t>
  </si>
  <si>
    <t>costs new access (2010 USD)</t>
  </si>
  <si>
    <t>cost of usage (10 min/day/capita (2 cent per min))</t>
  </si>
  <si>
    <t>annual recurrent costs (8% of stock (7,5 years))</t>
  </si>
  <si>
    <t>Roads, total network (km)  2010</t>
  </si>
  <si>
    <t>Roads, paved (% of total roads) 2010</t>
  </si>
  <si>
    <t>unpaved roads (km) 2010</t>
  </si>
  <si>
    <t>O&amp;M at least one every 4 years</t>
  </si>
  <si>
    <t xml:space="preserve">O&amp;M (2015-2030) </t>
  </si>
  <si>
    <t xml:space="preserve">total costs </t>
  </si>
  <si>
    <t>Data from database: World Development Indicators</t>
  </si>
  <si>
    <t>Last Updated: 09/16/2014</t>
  </si>
  <si>
    <t>Roads</t>
  </si>
  <si>
    <t xml:space="preserve">Roadway cost assumptions (USD per paved lane‐km, 2010)  Construction in  2010 USD </t>
  </si>
  <si>
    <t>best case scenario</t>
  </si>
  <si>
    <t>worst case scenario</t>
  </si>
  <si>
    <t>resource rents 2010 (2010 USD)</t>
  </si>
  <si>
    <t>resource rents 2015-2030</t>
  </si>
  <si>
    <t>ratio</t>
  </si>
  <si>
    <t>MDG Regional Average Costs</t>
  </si>
  <si>
    <t>Zeilenbeschriftungen</t>
  </si>
  <si>
    <t>Gesamtergebnis</t>
  </si>
  <si>
    <t>Werte</t>
  </si>
  <si>
    <t>Water</t>
  </si>
  <si>
    <t>pop w/o access 2030</t>
  </si>
  <si>
    <t>unpaved roads (km)</t>
  </si>
  <si>
    <t>Data Source: World Development Indicators World Bank Data Bank</t>
  </si>
  <si>
    <t>Series Name</t>
  </si>
  <si>
    <t>Series Code</t>
  </si>
  <si>
    <t>2010 [YR2010]</t>
  </si>
  <si>
    <t>2010 GDP (current USD)</t>
  </si>
  <si>
    <t xml:space="preserve">2010 Total Resource Rents (current USD) </t>
  </si>
  <si>
    <t>rents 2015-2030</t>
  </si>
  <si>
    <t>Total natural resources rents (% of GDP)</t>
  </si>
  <si>
    <t>NY.GDP.TOTL.RT.ZS</t>
  </si>
  <si>
    <t xml:space="preserve">TOTAL </t>
  </si>
  <si>
    <t>Last Updated: 05/06/2014</t>
  </si>
  <si>
    <t>Summe von rents 2015-2030</t>
  </si>
  <si>
    <t>total costs (all infra types)</t>
  </si>
  <si>
    <t>ratio (all infra types)</t>
  </si>
  <si>
    <t>best case scenario (all infra types)</t>
  </si>
  <si>
    <t>worst case scenario  (all infra types)</t>
  </si>
  <si>
    <t>electricity total costs</t>
  </si>
  <si>
    <t>electricity ratio</t>
  </si>
  <si>
    <t>electricity bc</t>
  </si>
  <si>
    <t>electricity wc</t>
  </si>
  <si>
    <t>water total costs</t>
  </si>
  <si>
    <t>water ratio</t>
  </si>
  <si>
    <t>water bc</t>
  </si>
  <si>
    <t>water wc</t>
  </si>
  <si>
    <t>sanitation total costs</t>
  </si>
  <si>
    <t>sanitation ratio</t>
  </si>
  <si>
    <t>sanitation bc</t>
  </si>
  <si>
    <t>sanitation wc</t>
  </si>
  <si>
    <t>ICT total costs</t>
  </si>
  <si>
    <t>ICT ratio</t>
  </si>
  <si>
    <t>ICT bc</t>
  </si>
  <si>
    <t>ICT wc</t>
  </si>
  <si>
    <t>roads total costs</t>
  </si>
  <si>
    <t>roads ratio</t>
  </si>
  <si>
    <t>roads bc</t>
  </si>
  <si>
    <t>roads wc</t>
  </si>
  <si>
    <t>total pop w/o access 2030</t>
  </si>
  <si>
    <t>costs per capita</t>
  </si>
  <si>
    <t>access (% of total population) raw data</t>
  </si>
  <si>
    <t>fe</t>
  </si>
  <si>
    <t>total costs pivot</t>
  </si>
  <si>
    <t>Summe von total costs pivot</t>
  </si>
  <si>
    <t>pop w/o access in 2030 pivot</t>
  </si>
  <si>
    <t>Summe von pop w/o access in 2030 pivot</t>
  </si>
  <si>
    <t>total population w/o improved water source 2030 pivot</t>
  </si>
  <si>
    <t>Summe von total population w/o improved water source 2030 pivot</t>
  </si>
  <si>
    <t>total costs (incl. recurrent) pivot</t>
  </si>
  <si>
    <t>total population w/o improved sanitation 2030 pivot</t>
  </si>
  <si>
    <t>Summe von total costs (incl. recurrent) pivot</t>
  </si>
  <si>
    <t>Summe von total population w/o improved sanitation 2030 pivot</t>
  </si>
  <si>
    <t>total population w/o access pivot</t>
  </si>
  <si>
    <t>Summe von total population w/o access pivot</t>
  </si>
  <si>
    <t>unpaved roads (km) 2010 pivot</t>
  </si>
  <si>
    <t>Summe von unpaved roads (km) 2010 pivot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</si>
</sst>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_(* #,##0.00_);_(* \(#,##0.00\);_(* &quot;-&quot;??_);_(@_)"/>
    <numFmt numFmtId="166" formatCode="#,##0.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6" fillId="0" borderId="0"/>
    <xf numFmtId="0" fontId="7" fillId="2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Border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 applyBorder="1"/>
    <xf numFmtId="4" fontId="2" fillId="0" borderId="0" xfId="0" applyNumberFormat="1" applyFont="1"/>
    <xf numFmtId="4" fontId="0" fillId="0" borderId="0" xfId="0" applyNumberFormat="1"/>
    <xf numFmtId="3" fontId="0" fillId="0" borderId="0" xfId="0" applyNumberFormat="1" applyAlignment="1">
      <alignment horizontal="center"/>
    </xf>
    <xf numFmtId="0" fontId="8" fillId="0" borderId="0" xfId="0" applyFont="1" applyFill="1"/>
    <xf numFmtId="3" fontId="8" fillId="0" borderId="0" xfId="0" applyNumberFormat="1" applyFont="1" applyFill="1"/>
    <xf numFmtId="164" fontId="8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/>
    <xf numFmtId="3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/>
    <xf numFmtId="164" fontId="9" fillId="0" borderId="0" xfId="0" applyNumberFormat="1" applyFont="1" applyFill="1"/>
    <xf numFmtId="2" fontId="9" fillId="0" borderId="0" xfId="0" applyNumberFormat="1" applyFont="1" applyFill="1"/>
    <xf numFmtId="3" fontId="9" fillId="0" borderId="0" xfId="0" applyNumberFormat="1" applyFont="1" applyFill="1"/>
    <xf numFmtId="0" fontId="9" fillId="0" borderId="0" xfId="4" applyFont="1" applyFill="1" applyBorder="1"/>
    <xf numFmtId="3" fontId="9" fillId="0" borderId="0" xfId="4" applyNumberFormat="1" applyFont="1" applyFill="1" applyBorder="1" applyAlignment="1">
      <alignment horizontal="right" vertical="center"/>
    </xf>
    <xf numFmtId="1" fontId="9" fillId="0" borderId="0" xfId="4" applyNumberFormat="1" applyFont="1" applyFill="1"/>
    <xf numFmtId="164" fontId="9" fillId="0" borderId="0" xfId="4" applyNumberFormat="1" applyFont="1" applyFill="1"/>
    <xf numFmtId="2" fontId="9" fillId="0" borderId="0" xfId="4" applyNumberFormat="1" applyFont="1" applyFill="1"/>
    <xf numFmtId="3" fontId="9" fillId="0" borderId="0" xfId="4" applyNumberFormat="1" applyFont="1" applyFill="1"/>
    <xf numFmtId="0" fontId="9" fillId="0" borderId="0" xfId="4" applyFont="1" applyFill="1"/>
    <xf numFmtId="166" fontId="9" fillId="0" borderId="0" xfId="0" applyNumberFormat="1" applyFont="1" applyFill="1"/>
    <xf numFmtId="1" fontId="8" fillId="0" borderId="0" xfId="0" applyNumberFormat="1" applyFont="1" applyFill="1"/>
    <xf numFmtId="0" fontId="8" fillId="3" borderId="0" xfId="0" applyFont="1" applyFill="1"/>
    <xf numFmtId="3" fontId="8" fillId="3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/>
    <xf numFmtId="0" fontId="9" fillId="3" borderId="0" xfId="0" applyFont="1" applyFill="1"/>
    <xf numFmtId="3" fontId="8" fillId="3" borderId="0" xfId="0" applyNumberFormat="1" applyFont="1" applyFill="1"/>
  </cellXfs>
  <cellStyles count="5">
    <cellStyle name="Komma 2" xfId="1"/>
    <cellStyle name="Schlecht" xfId="4" builtinId="27"/>
    <cellStyle name="Standard" xfId="0" builtinId="0"/>
    <cellStyle name="Standard 2" xfId="2"/>
    <cellStyle name="Standard 3" xfId="3"/>
  </cellStyles>
  <dxfs count="46">
    <dxf>
      <numFmt numFmtId="3" formatCode="#,##0"/>
    </dxf>
    <dxf>
      <numFmt numFmtId="3" formatCode="#,##0"/>
    </dxf>
    <dxf>
      <numFmt numFmtId="2" formatCode="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ika Marxen" refreshedDate="42048.579978240741" createdVersion="4" refreshedVersion="4" minRefreshableVersion="3" recordCount="214">
  <cacheSource type="worksheet">
    <worksheetSource ref="A2:R216" sheet="Roads"/>
  </cacheSource>
  <cacheFields count="18">
    <cacheField name="Country Name" numFmtId="0">
      <sharedItems/>
    </cacheField>
    <cacheField name="Country Code" numFmtId="0">
      <sharedItems/>
    </cacheField>
    <cacheField name="Income group" numFmtId="0">
      <sharedItems/>
    </cacheField>
    <cacheField name="Region" numFmtId="0">
      <sharedItems count="7">
        <s v="South Asia"/>
        <s v="Europe &amp; Central Asia"/>
        <s v="Middle East &amp; North Africa"/>
        <s v="East Asia &amp; Pacific"/>
        <s v="Sub-Saharan Africa"/>
        <s v="Latin America &amp; Caribbean"/>
        <s v="North America"/>
      </sharedItems>
    </cacheField>
    <cacheField name="Roads, total network (km)  2010" numFmtId="0">
      <sharedItems containsMixedTypes="1" containsNumber="1" minValue="77" maxValue="6545326"/>
    </cacheField>
    <cacheField name="Roads, paved (% of total roads) 2010" numFmtId="0">
      <sharedItems containsMixedTypes="1" containsNumber="1" minValue="6.8349935891113498" maxValue="100"/>
    </cacheField>
    <cacheField name="unpaved roads (km) 2010" numFmtId="0">
      <sharedItems containsMixedTypes="1" containsNumber="1" minValue="0" maxValue="2149622.1348999999"/>
    </cacheField>
    <cacheField name="unpaved roads (km) 2010 pivot" numFmtId="0">
      <sharedItems containsSemiMixedTypes="0" containsString="0" containsNumber="1" minValue="0" maxValue="2149622.1348999999"/>
    </cacheField>
    <cacheField name="Roadway cost assumptions (USD per paved lane‐km, 2010)  Construction in  2010 USD " numFmtId="3">
      <sharedItems containsMixedTypes="1" containsNumber="1" containsInteger="1" minValue="1000000" maxValue="1300000"/>
    </cacheField>
    <cacheField name="O&amp;M at least one every 4 years" numFmtId="3">
      <sharedItems containsMixedTypes="1" containsNumber="1" containsInteger="1" minValue="30000" maxValue="40000"/>
    </cacheField>
    <cacheField name="O&amp;M (2015-2030) " numFmtId="3">
      <sharedItems containsMixedTypes="1" containsNumber="1" containsInteger="1" minValue="56250" maxValue="75000"/>
    </cacheField>
    <cacheField name="total costs " numFmtId="3">
      <sharedItems containsMixedTypes="1" containsNumber="1" minValue="0" maxValue="2270538379988.125"/>
    </cacheField>
    <cacheField name="total costs pivot" numFmtId="3">
      <sharedItems containsSemiMixedTypes="0" containsString="0" containsNumber="1" minValue="0" maxValue="2270538379988.125"/>
    </cacheField>
    <cacheField name="resource rents 2010 (2010 USD)" numFmtId="3">
      <sharedItems containsMixedTypes="1" containsNumber="1" minValue="0" maxValue="412412144329.84637"/>
    </cacheField>
    <cacheField name="resource rents 2015-2030" numFmtId="3">
      <sharedItems containsMixedTypes="1" containsNumber="1" minValue="0" maxValue="6186182164947.6953"/>
    </cacheField>
    <cacheField name="ratio" numFmtId="2">
      <sharedItems containsMixedTypes="1" containsNumber="1" minValue="0" maxValue="159.38969270534358"/>
    </cacheField>
    <cacheField name="best case scenario" numFmtId="2">
      <sharedItems containsMixedTypes="1" containsNumber="1" minValue="0" maxValue="53.129897568447866"/>
    </cacheField>
    <cacheField name="worst case scenario" numFmtId="2">
      <sharedItems containsMixedTypes="1" containsNumber="1" minValue="0" maxValue="478.169078116030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nika Marxen" refreshedDate="42048.579978587964" createdVersion="4" refreshedVersion="4" minRefreshableVersion="3" recordCount="215">
  <cacheSource type="worksheet">
    <worksheetSource ref="A2:S226" sheet="ICT"/>
  </cacheSource>
  <cacheFields count="19">
    <cacheField name="Country Code" numFmtId="0">
      <sharedItems containsBlank="1"/>
    </cacheField>
    <cacheField name="Country Name" numFmtId="0">
      <sharedItems containsBlank="1"/>
    </cacheField>
    <cacheField name="Income group" numFmtId="0">
      <sharedItems containsBlank="1"/>
    </cacheField>
    <cacheField name="Region" numFmtId="0">
      <sharedItems containsBlank="1" count="8">
        <s v="South Asia"/>
        <s v="Europe &amp; Central Asia"/>
        <s v="Middle East &amp; North Africa"/>
        <s v="East Asia &amp; Pacific"/>
        <s v="Sub-Saharan Africa"/>
        <s v="Latin America &amp; Caribbean"/>
        <s v="North America"/>
        <m/>
      </sharedItems>
    </cacheField>
    <cacheField name="Population 2030" numFmtId="3">
      <sharedItems containsBlank="1" containsMixedTypes="1" containsNumber="1" minValue="10707" maxValue="1476377903"/>
    </cacheField>
    <cacheField name="access (% of total population) raw data" numFmtId="1">
      <sharedItems containsBlank="1" containsMixedTypes="1" containsNumber="1" minValue="0.7" maxValue="100"/>
    </cacheField>
    <cacheField name="w/o access (% of total population) !regional averages!" numFmtId="1">
      <sharedItems containsBlank="1" containsMixedTypes="1" containsNumber="1" minValue="0" maxValue="99.3"/>
    </cacheField>
    <cacheField name="total population w/o access " numFmtId="3">
      <sharedItems containsBlank="1" containsMixedTypes="1" containsNumber="1" minValue="0" maxValue="1116141694.6679997"/>
    </cacheField>
    <cacheField name="total population w/o access pivot" numFmtId="3">
      <sharedItems containsString="0" containsBlank="1" containsNumber="1" minValue="0" maxValue="1116141694.6679997"/>
    </cacheField>
    <cacheField name="costs new access (2010 USD)" numFmtId="0">
      <sharedItems containsString="0" containsBlank="1" containsNumber="1" containsInteger="1" minValue="150" maxValue="150"/>
    </cacheField>
    <cacheField name="cost of usage (10 min/day/capita (2 cent per min))" numFmtId="0">
      <sharedItems containsString="0" containsBlank="1" containsNumber="1" minValue="547.5" maxValue="547.5"/>
    </cacheField>
    <cacheField name="annual recurrent costs (8% of stock (7,5 years))" numFmtId="0">
      <sharedItems containsString="0" containsBlank="1" containsNumber="1" containsInteger="1" minValue="90" maxValue="90"/>
    </cacheField>
    <cacheField name="total costs" numFmtId="3">
      <sharedItems containsBlank="1" containsMixedTypes="1" containsNumber="1" minValue="0" maxValue="878961584551.0498"/>
    </cacheField>
    <cacheField name="total costs pivot" numFmtId="3">
      <sharedItems containsString="0" containsBlank="1" containsNumber="1" minValue="0" maxValue="878961584551.0498"/>
    </cacheField>
    <cacheField name="resource rents 2010 (2010 USD)" numFmtId="3">
      <sharedItems containsBlank="1" containsMixedTypes="1" containsNumber="1" minValue="0" maxValue="412412144329.84637"/>
    </cacheField>
    <cacheField name="resource rents 2015-2030" numFmtId="3">
      <sharedItems containsBlank="1" containsMixedTypes="1" containsNumber="1" minValue="0" maxValue="6186182164947.6953"/>
    </cacheField>
    <cacheField name="ratio" numFmtId="2">
      <sharedItems containsBlank="1" containsMixedTypes="1" containsNumber="1" minValue="0" maxValue="123.33797760666766"/>
    </cacheField>
    <cacheField name="best case scenario" numFmtId="2">
      <sharedItems containsBlank="1" containsMixedTypes="1" containsNumber="1" minValue="0" maxValue="41.112659202222552"/>
    </cacheField>
    <cacheField name="worst case scenario" numFmtId="2">
      <sharedItems containsBlank="1" containsMixedTypes="1" containsNumber="1" minValue="0" maxValue="370.013932820002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nika Marxen" refreshedDate="42048.579978703703" createdVersion="4" refreshedVersion="4" minRefreshableVersion="3" recordCount="215">
  <cacheSource type="worksheet">
    <worksheetSource ref="A2:W221" sheet="Sanitation"/>
  </cacheSource>
  <cacheFields count="23">
    <cacheField name="Country" numFmtId="0">
      <sharedItems containsBlank="1"/>
    </cacheField>
    <cacheField name="Country Code" numFmtId="0">
      <sharedItems containsBlank="1"/>
    </cacheField>
    <cacheField name="Income group" numFmtId="0">
      <sharedItems containsBlank="1"/>
    </cacheField>
    <cacheField name="Region" numFmtId="0">
      <sharedItems containsBlank="1" count="8">
        <s v="South Asia"/>
        <s v="Europe &amp; Central Asia"/>
        <s v="Middle East &amp; North Africa"/>
        <s v="East Asia &amp; Pacific"/>
        <s v="Sub-Saharan Africa"/>
        <s v="Latin America &amp; Caribbean"/>
        <s v="North America"/>
        <m/>
      </sharedItems>
    </cacheField>
    <cacheField name="MDG Region" numFmtId="0">
      <sharedItems containsBlank="1"/>
    </cacheField>
    <cacheField name="MDG Region by assumption" numFmtId="0">
      <sharedItems containsBlank="1"/>
    </cacheField>
    <cacheField name="total population 2010" numFmtId="3">
      <sharedItems containsString="0" containsBlank="1" containsNumber="1" containsInteger="1" minValue="9827" maxValue="1337705000"/>
    </cacheField>
    <cacheField name="total population 2030" numFmtId="3">
      <sharedItems containsBlank="1" containsMixedTypes="1" containsNumber="1" minValue="10707" maxValue="1476377903"/>
    </cacheField>
    <cacheField name="Improved sanitation facilities (% of population with access) 2010" numFmtId="0">
      <sharedItems containsBlank="1" containsMixedTypes="1" containsNumber="1" minValue="8.6" maxValue="100"/>
    </cacheField>
    <cacheField name="total population w/o improved sanitation 2030" numFmtId="3">
      <sharedItems containsBlank="1" containsMixedTypes="1" containsNumber="1" minValue="0" maxValue="971456660.17399991"/>
    </cacheField>
    <cacheField name="total population w/o improved sanitation 2030 pivot" numFmtId="3">
      <sharedItems containsString="0" containsBlank="1" containsNumber="1" minValue="0" maxValue="971456660.17399991"/>
    </cacheField>
    <cacheField name="total costs to achieve universal access ($/capita) from Hutton et al. Annex C in 2010 USD" numFmtId="2">
      <sharedItems containsBlank="1" containsMixedTypes="1" containsNumber="1" minValue="33.840587421517505" maxValue="632.23140495867767"/>
    </cacheField>
    <cacheField name="MDG regional average costs" numFmtId="2">
      <sharedItems containsBlank="1" containsMixedTypes="1" containsNumber="1" minValue="76.733547934264351" maxValue="319.34731934731934"/>
    </cacheField>
    <cacheField name="total costs" numFmtId="3">
      <sharedItems containsBlank="1" containsMixedTypes="1" containsNumber="1" minValue="0" maxValue="69477606978.923645"/>
    </cacheField>
    <cacheField name="global recurrent costs 2010-2015 (ca. 8%)" numFmtId="3">
      <sharedItems containsBlank="1" containsMixedTypes="1" containsNumber="1" minValue="0" maxValue="5609969375.5131893"/>
    </cacheField>
    <cacheField name="recurrent costs 2015-2030" numFmtId="3">
      <sharedItems containsBlank="1" containsMixedTypes="1" containsNumber="1" minValue="0" maxValue="8414954063.269783"/>
    </cacheField>
    <cacheField name="total costs (incl. recurrent)" numFmtId="3">
      <sharedItems containsBlank="1" containsMixedTypes="1" containsNumber="1" minValue="0" maxValue="77892561042.19342"/>
    </cacheField>
    <cacheField name="total costs (incl. recurrent) pivot" numFmtId="3">
      <sharedItems containsString="0" containsBlank="1" containsNumber="1" minValue="0" maxValue="77892561042.19342"/>
    </cacheField>
    <cacheField name="resource rents 2010 (2010 USD)" numFmtId="3">
      <sharedItems containsBlank="1" containsMixedTypes="1" containsNumber="1" minValue="0" maxValue="412412144329.84637"/>
    </cacheField>
    <cacheField name="resource rents 2015-2030" numFmtId="3">
      <sharedItems containsBlank="1" containsMixedTypes="1" containsNumber="1" minValue="0" maxValue="6186182164947.6953"/>
    </cacheField>
    <cacheField name="ratio" numFmtId="2">
      <sharedItems containsBlank="1" containsMixedTypes="1" containsNumber="1" minValue="0" maxValue="5.004983809026041"/>
    </cacheField>
    <cacheField name="best case scenario" numFmtId="2">
      <sharedItems containsBlank="1" containsMixedTypes="1" containsNumber="1" minValue="0" maxValue="1.6683279363420136"/>
    </cacheField>
    <cacheField name="worst case scenario" numFmtId="2">
      <sharedItems containsBlank="1" containsMixedTypes="1" containsNumber="1" minValue="0" maxValue="15.0149514270781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nnika Marxen" refreshedDate="42048.579978703703" createdVersion="4" refreshedVersion="4" minRefreshableVersion="3" recordCount="215">
  <cacheSource type="worksheet">
    <worksheetSource ref="A2:W218" sheet="Water"/>
  </cacheSource>
  <cacheFields count="23">
    <cacheField name="Country Name" numFmtId="0">
      <sharedItems containsBlank="1"/>
    </cacheField>
    <cacheField name="Country Code" numFmtId="0">
      <sharedItems containsBlank="1"/>
    </cacheField>
    <cacheField name="Income Group" numFmtId="0">
      <sharedItems containsBlank="1"/>
    </cacheField>
    <cacheField name="Region" numFmtId="0">
      <sharedItems containsBlank="1" count="8">
        <s v="South Asia"/>
        <s v="Europe &amp; Central Asia"/>
        <s v="Middle East &amp; North Africa"/>
        <s v="East Asia &amp; Pacific"/>
        <s v="Sub-Saharan Africa"/>
        <s v="Latin America &amp; Caribbean"/>
        <s v="North America"/>
        <m/>
      </sharedItems>
    </cacheField>
    <cacheField name="MDG Region" numFmtId="0">
      <sharedItems containsBlank="1"/>
    </cacheField>
    <cacheField name="MDG Regional Average Costs" numFmtId="2">
      <sharedItems containsBlank="1" containsMixedTypes="1" containsNumber="1" minValue="25.998990717254753" maxValue="530.71832220241151"/>
    </cacheField>
    <cacheField name=" total population 2010" numFmtId="3">
      <sharedItems containsString="0" containsBlank="1" containsNumber="1" containsInteger="1" minValue="9827" maxValue="1337705000"/>
    </cacheField>
    <cacheField name="total population 2030" numFmtId="3">
      <sharedItems containsBlank="1" containsMixedTypes="1" containsNumber="1" minValue="10707" maxValue="1476377903"/>
    </cacheField>
    <cacheField name="Improved water source (% of population with access) 2010" numFmtId="0">
      <sharedItems containsBlank="1" containsMixedTypes="1" containsNumber="1" minValue="31.5" maxValue="100"/>
    </cacheField>
    <cacheField name="total population w/o improved water source 2030" numFmtId="3">
      <sharedItems containsBlank="1" containsMixedTypes="1" containsNumber="1" minValue="0" maxValue="137303144.97899997"/>
    </cacheField>
    <cacheField name="total population w/o improved water source 2030 pivot" numFmtId="3">
      <sharedItems containsString="0" containsBlank="1" containsNumber="1" minValue="0" maxValue="137303144.97899997"/>
    </cacheField>
    <cacheField name="total costs to achieve universal access ($/capita) by 2030 in 2010 USD from Hutton et al. Annex D" numFmtId="2">
      <sharedItems containsBlank="1" containsMixedTypes="1" containsNumber="1" minValue="8.9092594499948508" maxValue="3565.9373151981076"/>
    </cacheField>
    <cacheField name="total costs" numFmtId="3">
      <sharedItems containsBlank="1" containsMixedTypes="1" containsNumber="1" minValue="0" maxValue="65976718680.94545"/>
    </cacheField>
    <cacheField name="recurrent costs [% of total costs]" numFmtId="0">
      <sharedItems containsBlank="1" containsMixedTypes="1" containsNumber="1" minValue="1.8629999999999997E-2" maxValue="1.8630000000000004E-2"/>
    </cacheField>
    <cacheField name="global recurrent costs 2010-2015" numFmtId="3">
      <sharedItems containsBlank="1" containsMixedTypes="1" containsNumber="1" minValue="0" maxValue="1229146269.0260139"/>
    </cacheField>
    <cacheField name="recurrent costs 2015-2030" numFmtId="3">
      <sharedItems containsBlank="1" containsMixedTypes="1" containsNumber="1" minValue="0" maxValue="1843719403.5390208"/>
    </cacheField>
    <cacheField name="total costs (incl. recurrent)" numFmtId="3">
      <sharedItems containsBlank="1" containsMixedTypes="1" containsNumber="1" minValue="0" maxValue="67820438084.484474"/>
    </cacheField>
    <cacheField name="total costs pivot" numFmtId="3">
      <sharedItems containsString="0" containsBlank="1" containsNumber="1" minValue="0" maxValue="67820438084.484474"/>
    </cacheField>
    <cacheField name="resource rents 2010 (2010 USD)" numFmtId="0">
      <sharedItems containsBlank="1" containsMixedTypes="1" containsNumber="1" minValue="0" maxValue="412412144329.84637"/>
    </cacheField>
    <cacheField name="resource rents 2015-2030" numFmtId="3">
      <sharedItems containsBlank="1" containsMixedTypes="1" containsNumber="1" minValue="0" maxValue="6186182164947.6953"/>
    </cacheField>
    <cacheField name="ratio" numFmtId="2">
      <sharedItems containsBlank="1" containsMixedTypes="1" containsNumber="1" minValue="0" maxValue="3.424427871666909"/>
    </cacheField>
    <cacheField name="best case scenario" numFmtId="2">
      <sharedItems containsBlank="1" containsMixedTypes="1" containsNumber="1" minValue="0" maxValue="1.141475957222303"/>
    </cacheField>
    <cacheField name="worst case scenario" numFmtId="2">
      <sharedItems containsBlank="1" containsMixedTypes="1" containsNumber="1" minValue="0" maxValue="10.2732836150007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nnika Marxen" refreshedDate="42048.579978935188" createdVersion="4" refreshedVersion="4" minRefreshableVersion="3" recordCount="215">
  <cacheSource type="worksheet">
    <worksheetSource ref="A2:U218" sheet="Electricity"/>
  </cacheSource>
  <cacheFields count="21">
    <cacheField name="Country Name" numFmtId="0">
      <sharedItems containsBlank="1"/>
    </cacheField>
    <cacheField name="Country Code" numFmtId="0">
      <sharedItems containsBlank="1"/>
    </cacheField>
    <cacheField name="Income Group" numFmtId="0">
      <sharedItems containsBlank="1"/>
    </cacheField>
    <cacheField name="Region" numFmtId="0">
      <sharedItems containsBlank="1" count="8">
        <s v="South Asia"/>
        <s v="Europe &amp; Central Asia"/>
        <s v="Middle East &amp; North Africa"/>
        <s v="East Asia &amp; Pacific"/>
        <s v="Sub-Saharan Africa"/>
        <s v="Latin America &amp; Caribbean"/>
        <s v="North America"/>
        <m/>
      </sharedItems>
    </cacheField>
    <cacheField name="regional split (NA/ME)" numFmtId="0">
      <sharedItems containsBlank="1"/>
    </cacheField>
    <cacheField name="total population 2010" numFmtId="3">
      <sharedItems containsBlank="1" containsMixedTypes="1" containsNumber="1" containsInteger="1" minValue="9827" maxValue="1337705000"/>
    </cacheField>
    <cacheField name="total population 2030" numFmtId="3">
      <sharedItems containsBlank="1" containsMixedTypes="1" containsNumber="1" minValue="10707" maxValue="1476377903"/>
    </cacheField>
    <cacheField name=" costs per new rural connection ($/capita) by 2030 in 2005 USD" numFmtId="0">
      <sharedItems containsBlank="1" containsMixedTypes="1" containsNumber="1" minValue="64" maxValue="326.89002158513563"/>
    </cacheField>
    <cacheField name="deflator" numFmtId="164">
      <sharedItems containsString="0" containsBlank="1" containsNumber="1" minValue="1.1004620318530163" maxValue="1.1004620318530163"/>
    </cacheField>
    <cacheField name="costs/new connection 2010 USD" numFmtId="2">
      <sharedItems containsBlank="1" containsMixedTypes="1" containsNumber="1" minValue="70.429570038593042" maxValue="359.73005734605471"/>
    </cacheField>
    <cacheField name="% with access 2010 WDI (urban+rural)" numFmtId="0">
      <sharedItems containsBlank="1" containsMixedTypes="1" containsNumber="1" minValue="1.5" maxValue="100"/>
    </cacheField>
    <cacheField name="pop w/o access in 2030" numFmtId="3">
      <sharedItems containsBlank="1" containsMixedTypes="1" containsNumber="1" minValue="0" maxValue="369094475.75"/>
    </cacheField>
    <cacheField name="pop w/o access in 2030 pivot" numFmtId="3">
      <sharedItems containsString="0" containsBlank="1" containsNumber="1" minValue="0" maxValue="369094475.75"/>
    </cacheField>
    <cacheField name="recurrent costs (O&amp;M) [% of total costs] ! included in total costs !" numFmtId="0">
      <sharedItems containsString="0" containsBlank="1" containsNumber="1" minValue="0" maxValue="0.11040303634246594"/>
    </cacheField>
    <cacheField name="total costs" numFmtId="0">
      <sharedItems containsBlank="1" containsMixedTypes="1" containsNumber="1" minValue="0" maxValue="51089797927.322174"/>
    </cacheField>
    <cacheField name="total costs pivot" numFmtId="0">
      <sharedItems containsString="0" containsBlank="1" containsNumber="1" minValue="0" maxValue="51089797927.322174"/>
    </cacheField>
    <cacheField name="resource rents 2010 (2010 USD)" numFmtId="0">
      <sharedItems containsBlank="1" containsMixedTypes="1" containsNumber="1" minValue="0" maxValue="412412144329.84637"/>
    </cacheField>
    <cacheField name="resource rents 2015-2030" numFmtId="0">
      <sharedItems containsBlank="1" containsMixedTypes="1" containsNumber="1" minValue="0" maxValue="6186182164947.6953"/>
    </cacheField>
    <cacheField name="ratio" numFmtId="2">
      <sharedItems containsBlank="1" containsMixedTypes="1" containsNumber="1" minValue="0" maxValue="5.0099392430226324"/>
    </cacheField>
    <cacheField name="best case scenario" numFmtId="2">
      <sharedItems containsBlank="1" containsMixedTypes="1" containsNumber="1" minValue="0" maxValue="1.6699797476742109"/>
    </cacheField>
    <cacheField name="worst case scenario" numFmtId="2">
      <sharedItems containsBlank="1" containsMixedTypes="1" containsNumber="1" minValue="0" maxValue="15.0298177290678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nnika Marxen" refreshedDate="42048.579978935188" createdVersion="4" refreshedVersion="4" minRefreshableVersion="3" recordCount="215">
  <cacheSource type="worksheet">
    <worksheetSource ref="A2:I217" sheet="Rents"/>
  </cacheSource>
  <cacheFields count="9">
    <cacheField name="Country Name" numFmtId="0">
      <sharedItems/>
    </cacheField>
    <cacheField name="Country Code" numFmtId="0">
      <sharedItems containsBlank="1"/>
    </cacheField>
    <cacheField name="Region" numFmtId="0">
      <sharedItems containsBlank="1" count="8">
        <s v="South Asia"/>
        <s v="Europe &amp; Central Asia"/>
        <s v="Middle East &amp; North Africa"/>
        <s v="East Asia &amp; Pacific"/>
        <s v="Sub-Saharan Africa"/>
        <s v="Latin America &amp; Caribbean"/>
        <s v="North America"/>
        <m/>
      </sharedItems>
    </cacheField>
    <cacheField name="Series Name" numFmtId="0">
      <sharedItems containsBlank="1"/>
    </cacheField>
    <cacheField name="Series Code" numFmtId="0">
      <sharedItems containsBlank="1"/>
    </cacheField>
    <cacheField name="2010 [YR2010]" numFmtId="0">
      <sharedItems containsMixedTypes="1" containsNumber="1" minValue="0" maxValue="1927.2889802171569"/>
    </cacheField>
    <cacheField name="2010 GDP (current USD)" numFmtId="0">
      <sharedItems containsMixedTypes="1" containsNumber="1" minValue="31824701.278333101" maxValue="63663350904054.687"/>
    </cacheField>
    <cacheField name="2010 Total Resource Rents (current USD) " numFmtId="0">
      <sharedItems containsString="0" containsBlank="1" containsNumber="1" minValue="0" maxValue="3023123568904.1025"/>
    </cacheField>
    <cacheField name="rents 2015-2030" numFmtId="0">
      <sharedItems containsString="0" containsBlank="1" containsNumber="1" minValue="0" maxValue="45346853533561.5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">
  <r>
    <s v="Afghanistan"/>
    <s v="AFG"/>
    <s v="Low income"/>
    <x v="0"/>
    <n v="23133"/>
    <n v="36.393896165650801"/>
    <n v="14713.999999999998"/>
    <n v="14713.999999999998"/>
    <n v="1100000"/>
    <n v="33000"/>
    <n v="61875"/>
    <n v="17095828749.999998"/>
    <n v="17095828749.999998"/>
    <n v="275432181.35267156"/>
    <n v="4131482720.2900734"/>
    <n v="4.1379402765115989"/>
    <n v="1.3793134255038662"/>
    <n v="12.413820829534796"/>
  </r>
  <r>
    <s v="Albania"/>
    <s v="ALB"/>
    <s v="Upper middle income"/>
    <x v="1"/>
    <s v="N/A"/>
    <s v="N/A"/>
    <e v="#VALUE!"/>
    <n v="0"/>
    <s v="N/A"/>
    <s v="N/A"/>
    <e v="#VALUE!"/>
    <e v="#VALUE!"/>
    <n v="0"/>
    <n v="411495291.46132761"/>
    <n v="6172429371.9199142"/>
    <e v="#VALUE!"/>
    <e v="#VALUE!"/>
    <e v="#VALUE!"/>
  </r>
  <r>
    <s v="Algeria"/>
    <s v="DZA"/>
    <s v="Upper middle income"/>
    <x v="2"/>
    <n v="113655"/>
    <n v="77.081518630944501"/>
    <n v="26048.000000000029"/>
    <n v="26048.000000000029"/>
    <n v="1000000"/>
    <n v="30000"/>
    <n v="56250"/>
    <n v="27513200000.000031"/>
    <n v="27513200000.000031"/>
    <n v="41290138275.752869"/>
    <n v="619352074136.29297"/>
    <n v="4.4422552452687114E-2"/>
    <n v="1.4807517484229036E-2"/>
    <n v="0.13326765735806134"/>
  </r>
  <r>
    <s v="American Samoa"/>
    <s v="ASM"/>
    <s v="Upper middle income"/>
    <x v="3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Andorra"/>
    <s v="ADO"/>
    <s v="High income: nonOECD"/>
    <x v="1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Angola"/>
    <s v="AGO"/>
    <s v="Upper middle income"/>
    <x v="4"/>
    <s v="N/A"/>
    <s v="N/A"/>
    <e v="#VALUE!"/>
    <n v="0"/>
    <n v="1200000"/>
    <n v="35000"/>
    <n v="65625"/>
    <e v="#VALUE!"/>
    <n v="0"/>
    <n v="38084701465.664787"/>
    <n v="571270521984.9718"/>
    <e v="#VALUE!"/>
    <e v="#VALUE!"/>
    <e v="#VALUE!"/>
  </r>
  <r>
    <s v="Antigua and Barbuda"/>
    <s v="ATG"/>
    <s v="High income: nonOECD"/>
    <x v="5"/>
    <s v="N/A"/>
    <s v="N/A"/>
    <e v="#VALUE!"/>
    <n v="0"/>
    <n v="1100000"/>
    <n v="35000"/>
    <n v="65625"/>
    <e v="#VALUE!"/>
    <n v="0"/>
    <n v="0"/>
    <n v="0"/>
    <e v="#VALUE!"/>
    <e v="#VALUE!"/>
    <e v="#VALUE!"/>
  </r>
  <r>
    <s v="Argentina"/>
    <s v="ARG"/>
    <s v="Upper middle income"/>
    <x v="5"/>
    <s v="N/A"/>
    <s v="N/A"/>
    <e v="#VALUE!"/>
    <n v="0"/>
    <n v="1100000"/>
    <n v="35000"/>
    <n v="65625"/>
    <e v="#VALUE!"/>
    <n v="0"/>
    <n v="23990886710.821796"/>
    <n v="359863300662.32697"/>
    <e v="#VALUE!"/>
    <e v="#VALUE!"/>
    <e v="#VALUE!"/>
  </r>
  <r>
    <s v="Armenia"/>
    <s v="ARM"/>
    <s v="Lower middle income"/>
    <x v="1"/>
    <n v="7749"/>
    <s v="N/A"/>
    <e v="#VALUE!"/>
    <n v="0"/>
    <n v="1100000"/>
    <n v="33000"/>
    <n v="61875"/>
    <e v="#VALUE!"/>
    <n v="0"/>
    <n v="346885961.37184739"/>
    <n v="5203289420.5777111"/>
    <e v="#VALUE!"/>
    <e v="#VALUE!"/>
    <e v="#VALUE!"/>
  </r>
  <r>
    <s v="Aruba"/>
    <s v="ABW"/>
    <s v="High income: nonOECD"/>
    <x v="5"/>
    <s v="N/A"/>
    <s v="N/A"/>
    <e v="#VALUE!"/>
    <n v="0"/>
    <n v="1100000"/>
    <n v="35000"/>
    <n v="65625"/>
    <e v="#VALUE!"/>
    <n v="0"/>
    <n v="93353.484085037111"/>
    <n v="1400302.2612755566"/>
    <e v="#VALUE!"/>
    <e v="#VALUE!"/>
    <e v="#VALUE!"/>
  </r>
  <r>
    <s v="Australia"/>
    <s v="AUS"/>
    <s v="High income: OECD"/>
    <x v="3"/>
    <n v="825592"/>
    <n v="43.335933487727601"/>
    <n v="467814"/>
    <n v="467814"/>
    <s v="N/A"/>
    <s v="N/A"/>
    <e v="#VALUE!"/>
    <e v="#VALUE!"/>
    <n v="0"/>
    <n v="111498672067.56895"/>
    <n v="1672480081013.5344"/>
    <e v="#VALUE!"/>
    <e v="#VALUE!"/>
    <e v="#VALUE!"/>
  </r>
  <r>
    <s v="Austria"/>
    <s v="AUT"/>
    <s v="High income: OECD"/>
    <x v="1"/>
    <n v="110206"/>
    <n v="100"/>
    <n v="0"/>
    <n v="0"/>
    <s v="N/A"/>
    <s v="N/A"/>
    <e v="#VALUE!"/>
    <e v="#VALUE!"/>
    <n v="0"/>
    <n v="1711085863.7734871"/>
    <n v="25666287956.602306"/>
    <e v="#VALUE!"/>
    <e v="#VALUE!"/>
    <e v="#VALUE!"/>
  </r>
  <r>
    <s v="Azerbaijan"/>
    <s v="AZE"/>
    <s v="Upper middle income"/>
    <x v="1"/>
    <n v="18977"/>
    <n v="54.692522527269901"/>
    <n v="8597.9999999999909"/>
    <n v="8597.9999999999909"/>
    <n v="1100000"/>
    <n v="33000"/>
    <n v="61875"/>
    <n v="9989801249.9999886"/>
    <n v="9989801249.9999886"/>
    <n v="24407648660.104939"/>
    <n v="366114729901.5741"/>
    <n v="2.7285985605347361E-2"/>
    <n v="9.0953285351157882E-3"/>
    <n v="8.1857956816042091E-2"/>
  </r>
  <r>
    <s v="Bahamas, The"/>
    <s v="BHS"/>
    <s v="High income: nonOECD"/>
    <x v="5"/>
    <s v="N/A"/>
    <s v="N/A"/>
    <e v="#VALUE!"/>
    <n v="0"/>
    <n v="1100000"/>
    <n v="35000"/>
    <n v="65625"/>
    <e v="#VALUE!"/>
    <n v="0"/>
    <n v="2651920.615148271"/>
    <n v="39778809.227224067"/>
    <e v="#VALUE!"/>
    <e v="#VALUE!"/>
    <e v="#VALUE!"/>
  </r>
  <r>
    <s v="Bahrain"/>
    <s v="BHR"/>
    <s v="High income: nonOECD"/>
    <x v="2"/>
    <n v="4122"/>
    <n v="82.12"/>
    <n v="737.01359999999988"/>
    <n v="737.01359999999988"/>
    <n v="1000000"/>
    <n v="30000"/>
    <n v="56250"/>
    <n v="778470614.99999988"/>
    <n v="778470614.99999988"/>
    <n v="5828990079.2173672"/>
    <n v="87434851188.260513"/>
    <n v="8.9034361518364625E-3"/>
    <n v="2.9678120506121536E-3"/>
    <n v="2.6710308455509386E-2"/>
  </r>
  <r>
    <s v="Bangladesh"/>
    <s v="BGD"/>
    <s v="Low income"/>
    <x v="0"/>
    <s v="N/A"/>
    <s v="N/A"/>
    <e v="#VALUE!"/>
    <n v="0"/>
    <s v="N/A"/>
    <s v="N/A"/>
    <e v="#VALUE!"/>
    <e v="#VALUE!"/>
    <n v="0"/>
    <n v="5122872663.1918049"/>
    <n v="76843089947.877075"/>
    <e v="#VALUE!"/>
    <e v="#VALUE!"/>
    <e v="#VALUE!"/>
  </r>
  <r>
    <s v="Barbados"/>
    <s v="BRB"/>
    <s v="High income: nonOECD"/>
    <x v="5"/>
    <s v="N/A"/>
    <s v="N/A"/>
    <e v="#VALUE!"/>
    <n v="0"/>
    <n v="1100000"/>
    <n v="35000"/>
    <n v="65625"/>
    <e v="#VALUE!"/>
    <n v="0"/>
    <n v="1055471.7325739102"/>
    <n v="15832075.988608653"/>
    <e v="#VALUE!"/>
    <e v="#VALUE!"/>
    <e v="#VALUE!"/>
  </r>
  <r>
    <s v="Belarus"/>
    <s v="BLR"/>
    <s v="Upper middle income"/>
    <x v="1"/>
    <n v="86392"/>
    <n v="86.408463746643207"/>
    <n v="11742.000000000002"/>
    <n v="11742.000000000002"/>
    <n v="1100000"/>
    <n v="33000"/>
    <n v="61875"/>
    <n v="13642736250.000002"/>
    <n v="13642736250.000002"/>
    <n v="1379214938.7502549"/>
    <n v="20688224081.253822"/>
    <n v="0.65944453213662091"/>
    <n v="0.21981484404554033"/>
    <n v="1.9783335964098629"/>
  </r>
  <r>
    <s v="Belgium"/>
    <s v="BEL"/>
    <s v="High income: OECD"/>
    <x v="1"/>
    <n v="154012"/>
    <n v="78.248448172869601"/>
    <n v="33500.000000000073"/>
    <n v="33500.000000000073"/>
    <s v="N/A"/>
    <s v="N/A"/>
    <e v="#VALUE!"/>
    <e v="#VALUE!"/>
    <n v="0"/>
    <n v="306181202.30001646"/>
    <n v="4592718034.500247"/>
    <e v="#VALUE!"/>
    <e v="#VALUE!"/>
    <e v="#VALUE!"/>
  </r>
  <r>
    <s v="Belize"/>
    <s v="BLZ"/>
    <s v="Upper middle income"/>
    <x v="5"/>
    <s v="N/A"/>
    <s v="N/A"/>
    <e v="#VALUE!"/>
    <n v="0"/>
    <n v="1100000"/>
    <n v="35000"/>
    <n v="65625"/>
    <e v="#VALUE!"/>
    <n v="0"/>
    <n v="14107420.288951172"/>
    <n v="211611304.33426759"/>
    <e v="#VALUE!"/>
    <e v="#VALUE!"/>
    <e v="#VALUE!"/>
  </r>
  <r>
    <s v="Benin"/>
    <s v="BEN"/>
    <s v="Low income"/>
    <x v="4"/>
    <s v="N/A"/>
    <s v="N/A"/>
    <e v="#VALUE!"/>
    <n v="0"/>
    <n v="1200000"/>
    <n v="35000"/>
    <n v="65625"/>
    <e v="#VALUE!"/>
    <n v="0"/>
    <n v="358790876.29676551"/>
    <n v="5381863144.4514828"/>
    <e v="#VALUE!"/>
    <e v="#VALUE!"/>
    <e v="#VALUE!"/>
  </r>
  <r>
    <s v="Bermuda"/>
    <s v="BMU"/>
    <s v="High income: nonOECD"/>
    <x v="6"/>
    <s v="N/A"/>
    <s v="N/A"/>
    <e v="#VALUE!"/>
    <n v="0"/>
    <s v="N/A"/>
    <s v="N/A"/>
    <e v="#VALUE!"/>
    <e v="#VALUE!"/>
    <n v="0"/>
    <n v="0"/>
    <n v="0"/>
    <e v="#VALUE!"/>
    <e v="#VALUE!"/>
    <e v="#VALUE!"/>
  </r>
  <r>
    <s v="Bhutan"/>
    <s v="BTN"/>
    <s v="Lower middle income"/>
    <x v="0"/>
    <n v="6920.2"/>
    <n v="40.383225918326097"/>
    <n v="4125.5999999999967"/>
    <n v="4125.5999999999967"/>
    <n v="1100000"/>
    <n v="33000"/>
    <n v="61875"/>
    <n v="4793431499.9999962"/>
    <n v="4793431499.9999962"/>
    <n v="384755041.17597884"/>
    <n v="5771325617.6396828"/>
    <n v="0.83055987784663954"/>
    <n v="0.27685329261554648"/>
    <n v="2.4916796335399183"/>
  </r>
  <r>
    <s v="Bolivia"/>
    <s v="BOL"/>
    <s v="Lower middle income"/>
    <x v="5"/>
    <n v="81124"/>
    <n v="10.471623687194899"/>
    <n v="72629.000000000015"/>
    <n v="72629.000000000015"/>
    <n v="1100000"/>
    <n v="35000"/>
    <n v="65625"/>
    <n v="84658178125.000015"/>
    <n v="84658178125.000015"/>
    <n v="3943593093.8863621"/>
    <n v="59153896408.295433"/>
    <n v="1.4311513402374623"/>
    <n v="0.47705044674582076"/>
    <n v="4.293454020712387"/>
  </r>
  <r>
    <s v="Bosnia and Herzegovina"/>
    <s v="BIH"/>
    <s v="Upper middle income"/>
    <x v="1"/>
    <n v="22703"/>
    <n v="92.058318283927207"/>
    <n v="1803.0000000000057"/>
    <n v="1803.0000000000057"/>
    <n v="1100000"/>
    <n v="33000"/>
    <n v="61875"/>
    <n v="2094860625.0000067"/>
    <n v="2094860625.0000067"/>
    <n v="595625627.44246328"/>
    <n v="8934384411.6369495"/>
    <n v="0.23447173621402173"/>
    <n v="7.8157245404673906E-2"/>
    <n v="0.70341520864206519"/>
  </r>
  <r>
    <s v="Botswana"/>
    <s v="BWA"/>
    <s v="Upper middle income"/>
    <x v="4"/>
    <s v="N/A"/>
    <s v="N/A"/>
    <e v="#VALUE!"/>
    <n v="0"/>
    <n v="1200000"/>
    <n v="35000"/>
    <n v="65625"/>
    <e v="#VALUE!"/>
    <n v="0"/>
    <n v="686157389.38852191"/>
    <n v="10292360840.827829"/>
    <e v="#VALUE!"/>
    <e v="#VALUE!"/>
    <e v="#VALUE!"/>
  </r>
  <r>
    <s v="Brazil"/>
    <s v="BRA"/>
    <s v="Upper middle income"/>
    <x v="5"/>
    <n v="1580964"/>
    <n v="13.456"/>
    <n v="1368229.48416"/>
    <n v="1368229.48416"/>
    <n v="1100000"/>
    <n v="35000"/>
    <n v="65625"/>
    <n v="1594842492474"/>
    <n v="1594842492474"/>
    <n v="131651047125.59688"/>
    <n v="1974765706883.9531"/>
    <n v="0.80761099249113133"/>
    <n v="0.26920366416371044"/>
    <n v="2.4228329774733943"/>
  </r>
  <r>
    <s v="Brunei Darussalam"/>
    <s v="BRN"/>
    <s v="High income: nonOECD"/>
    <x v="3"/>
    <n v="3028.11"/>
    <n v="80.397013318538598"/>
    <n v="593.60000000000082"/>
    <n v="593.60000000000082"/>
    <n v="1100000"/>
    <n v="33000"/>
    <n v="61875"/>
    <n v="689689000.00000095"/>
    <n v="689689000.00000095"/>
    <n v="5618749657.8090668"/>
    <n v="84281244867.136002"/>
    <n v="8.1831847771974848E-3"/>
    <n v="2.7277282590658278E-3"/>
    <n v="2.4549554331592453E-2"/>
  </r>
  <r>
    <s v="Bulgaria"/>
    <s v="BGR"/>
    <s v="Upper middle income"/>
    <x v="1"/>
    <n v="19456"/>
    <n v="98.571134868421098"/>
    <n v="277.9999999999917"/>
    <n v="277.9999999999917"/>
    <n v="1100000"/>
    <n v="33000"/>
    <n v="61875"/>
    <n v="323001249.99999034"/>
    <n v="323001249.99999034"/>
    <n v="1236205124.2998753"/>
    <n v="18543076864.498131"/>
    <n v="1.741896732458658E-2"/>
    <n v="5.8063224415288604E-3"/>
    <n v="5.2256901973759748E-2"/>
  </r>
  <r>
    <s v="Burkina Faso"/>
    <s v="BFA"/>
    <s v="Low income"/>
    <x v="4"/>
    <n v="15271.6"/>
    <s v="N/A"/>
    <e v="#VALUE!"/>
    <n v="0"/>
    <n v="1200000"/>
    <n v="35000"/>
    <n v="65625"/>
    <e v="#VALUE!"/>
    <n v="0"/>
    <n v="1409883719.9157445"/>
    <n v="21148255798.736168"/>
    <e v="#VALUE!"/>
    <e v="#VALUE!"/>
    <e v="#VALUE!"/>
  </r>
  <r>
    <s v="Burundi"/>
    <s v="BDI"/>
    <s v="Low income"/>
    <x v="4"/>
    <s v="N/A"/>
    <s v="N/A"/>
    <e v="#VALUE!"/>
    <n v="0"/>
    <n v="1200000"/>
    <n v="35000"/>
    <n v="65625"/>
    <e v="#VALUE!"/>
    <n v="0"/>
    <n v="551752484.64932442"/>
    <n v="8276287269.7398663"/>
    <e v="#VALUE!"/>
    <e v="#VALUE!"/>
    <e v="#VALUE!"/>
  </r>
  <r>
    <s v="Cabo Verde"/>
    <s v="CPV"/>
    <s v="Lower middle income"/>
    <x v="4"/>
    <s v="N/A"/>
    <s v="N/A"/>
    <e v="#VALUE!"/>
    <n v="0"/>
    <n v="1200000"/>
    <n v="35000"/>
    <n v="65625"/>
    <e v="#VALUE!"/>
    <n v="0"/>
    <n v="9544520.9551698435"/>
    <n v="143167814.32754764"/>
    <e v="#VALUE!"/>
    <e v="#VALUE!"/>
    <e v="#VALUE!"/>
  </r>
  <r>
    <s v="Cambodia"/>
    <s v="KHM"/>
    <s v="Low income"/>
    <x v="3"/>
    <s v="N/A"/>
    <s v="N/A"/>
    <e v="#VALUE!"/>
    <n v="0"/>
    <n v="1100000"/>
    <n v="33000"/>
    <n v="61875"/>
    <e v="#VALUE!"/>
    <n v="0"/>
    <n v="433167180.30280077"/>
    <n v="6497507704.5420113"/>
    <e v="#VALUE!"/>
    <e v="#VALUE!"/>
    <e v="#VALUE!"/>
  </r>
  <r>
    <s v="Cameroon"/>
    <s v="CMR"/>
    <s v="Lower middle income"/>
    <x v="4"/>
    <n v="49751"/>
    <n v="10.072159353580799"/>
    <n v="44740.000000000015"/>
    <n v="44740.000000000015"/>
    <n v="1200000"/>
    <n v="35000"/>
    <n v="65625"/>
    <n v="56624062500.000015"/>
    <n v="56624062500.000015"/>
    <n v="2416929494.6420951"/>
    <n v="36253942419.631424"/>
    <n v="1.5618732397318043"/>
    <n v="0.52062441324393471"/>
    <n v="4.6856197191954125"/>
  </r>
  <r>
    <s v="Canada"/>
    <s v="CAN"/>
    <s v="High income: OECD"/>
    <x v="6"/>
    <s v="N/A"/>
    <s v="N/A"/>
    <e v="#VALUE!"/>
    <n v="0"/>
    <s v="N/A"/>
    <s v="N/A"/>
    <e v="#VALUE!"/>
    <e v="#VALUE!"/>
    <n v="0"/>
    <n v="66550602359.385544"/>
    <n v="998259035390.7832"/>
    <e v="#VALUE!"/>
    <e v="#VALUE!"/>
    <e v="#VALUE!"/>
  </r>
  <r>
    <s v="Cayman Islands"/>
    <s v="CYM"/>
    <s v="High income: nonOECD"/>
    <x v="5"/>
    <s v="N/A"/>
    <s v="N/A"/>
    <e v="#VALUE!"/>
    <n v="0"/>
    <n v="1100000"/>
    <n v="35000"/>
    <n v="65625"/>
    <e v="#VALUE!"/>
    <n v="0"/>
    <s v="N/A"/>
    <e v="#VALUE!"/>
    <e v="#VALUE!"/>
    <e v="#VALUE!"/>
    <e v="#VALUE!"/>
  </r>
  <r>
    <s v="Central African Republic"/>
    <s v="CAF"/>
    <s v="Low income"/>
    <x v="4"/>
    <n v="20278"/>
    <n v="6.8349935891113498"/>
    <n v="18892"/>
    <n v="18892"/>
    <n v="1200000"/>
    <n v="35000"/>
    <n v="65625"/>
    <n v="23910187500"/>
    <n v="23910187500"/>
    <n v="165997754.82625589"/>
    <n v="2489966322.3938384"/>
    <n v="9.6026148164979563"/>
    <n v="3.2008716054993189"/>
    <n v="28.807844449493871"/>
  </r>
  <r>
    <s v="Chad"/>
    <s v="TCD"/>
    <s v="Low income"/>
    <x v="4"/>
    <s v="N/A"/>
    <s v="N/A"/>
    <e v="#VALUE!"/>
    <n v="0"/>
    <n v="1200000"/>
    <n v="35000"/>
    <n v="65625"/>
    <e v="#VALUE!"/>
    <n v="0"/>
    <n v="3554600897.019742"/>
    <n v="53319013455.296127"/>
    <e v="#VALUE!"/>
    <e v="#VALUE!"/>
    <e v="#VALUE!"/>
  </r>
  <r>
    <s v="Channel Islands"/>
    <s v="CHI"/>
    <s v="High income: nonOECD"/>
    <x v="1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Chile"/>
    <s v="CHL"/>
    <s v="High income: OECD"/>
    <x v="5"/>
    <n v="77763.740000000005"/>
    <n v="23.3"/>
    <n v="59644.788580000008"/>
    <n v="59644.788580000008"/>
    <n v="1100000"/>
    <n v="35000"/>
    <n v="65625"/>
    <n v="69523456688.562515"/>
    <n v="69523456688.562515"/>
    <n v="42609019124.162964"/>
    <n v="639135286862.44446"/>
    <n v="0.10877737173589266"/>
    <n v="3.6259123911964217E-2"/>
    <n v="0.32633211520767802"/>
  </r>
  <r>
    <s v="China"/>
    <s v="CHN"/>
    <s v="Upper middle income"/>
    <x v="3"/>
    <n v="4008229"/>
    <n v="60.930026702566103"/>
    <n v="1566014.0000000019"/>
    <n v="1566014.0000000019"/>
    <n v="1200000"/>
    <n v="35000"/>
    <n v="65625"/>
    <n v="1981986468750.0024"/>
    <n v="1981986468750.0024"/>
    <n v="412412144329.84637"/>
    <n v="6186182164947.6953"/>
    <n v="0.32038928306708864"/>
    <n v="0.10679642768902955"/>
    <n v="0.96116784920126608"/>
  </r>
  <r>
    <s v="Colombia"/>
    <s v="COL"/>
    <s v="Upper middle income"/>
    <x v="5"/>
    <n v="203627"/>
    <s v="N/A"/>
    <e v="#VALUE!"/>
    <n v="0"/>
    <n v="1100000"/>
    <n v="35000"/>
    <n v="65625"/>
    <e v="#VALUE!"/>
    <n v="0"/>
    <n v="27613795592.874363"/>
    <n v="414206933893.11542"/>
    <e v="#VALUE!"/>
    <e v="#VALUE!"/>
    <e v="#VALUE!"/>
  </r>
  <r>
    <s v="Comoros"/>
    <s v="COM"/>
    <s v="Low income"/>
    <x v="4"/>
    <s v="N/A"/>
    <s v="N/A"/>
    <e v="#VALUE!"/>
    <n v="0"/>
    <n v="1200000"/>
    <n v="35000"/>
    <n v="65625"/>
    <e v="#VALUE!"/>
    <n v="0"/>
    <n v="15685686.317566991"/>
    <n v="235285294.76350486"/>
    <e v="#VALUE!"/>
    <e v="#VALUE!"/>
    <e v="#VALUE!"/>
  </r>
  <r>
    <s v="Congo, Dem. Rep."/>
    <s v="ZAR"/>
    <s v="Low income"/>
    <x v="4"/>
    <s v="N/A"/>
    <s v="N/A"/>
    <e v="#VALUE!"/>
    <n v="0"/>
    <n v="1200000"/>
    <n v="35000"/>
    <n v="65625"/>
    <e v="#VALUE!"/>
    <n v="0"/>
    <n v="7681552331.5239582"/>
    <n v="115223284972.85937"/>
    <e v="#VALUE!"/>
    <e v="#VALUE!"/>
    <e v="#VALUE!"/>
  </r>
  <r>
    <s v="Congo, Rep."/>
    <s v="COG"/>
    <s v="Lower middle income"/>
    <x v="4"/>
    <s v="N/A"/>
    <s v="N/A"/>
    <e v="#VALUE!"/>
    <n v="0"/>
    <n v="1200000"/>
    <n v="35000"/>
    <n v="65625"/>
    <e v="#VALUE!"/>
    <n v="0"/>
    <n v="7999753757.4398327"/>
    <n v="119996306361.59749"/>
    <e v="#VALUE!"/>
    <e v="#VALUE!"/>
    <e v="#VALUE!"/>
  </r>
  <r>
    <s v="Costa Rica"/>
    <s v="CRI"/>
    <s v="Upper middle income"/>
    <x v="5"/>
    <n v="39937"/>
    <n v="25.284823597165499"/>
    <n v="29839.000000000011"/>
    <n v="29839.000000000011"/>
    <n v="1100000"/>
    <n v="35000"/>
    <n v="65625"/>
    <n v="34781084375.000015"/>
    <n v="34781084375.000015"/>
    <n v="447691904.68022686"/>
    <n v="6715378570.2034025"/>
    <n v="5.1793184868722193"/>
    <n v="1.7264394956240732"/>
    <n v="15.537955460616658"/>
  </r>
  <r>
    <s v="Cote d'Ivoire"/>
    <s v="CIV"/>
    <s v="Lower middle income"/>
    <x v="4"/>
    <s v="N/A"/>
    <s v="N/A"/>
    <e v="#VALUE!"/>
    <n v="0"/>
    <n v="1200000"/>
    <n v="35000"/>
    <n v="65625"/>
    <e v="#VALUE!"/>
    <n v="0"/>
    <n v="1791544935.1129889"/>
    <n v="26873174026.694836"/>
    <e v="#VALUE!"/>
    <e v="#VALUE!"/>
    <e v="#VALUE!"/>
  </r>
  <r>
    <s v="Croatia"/>
    <s v="HRV"/>
    <s v="High income: nonOECD"/>
    <x v="1"/>
    <n v="29333"/>
    <n v="90.720349094876099"/>
    <n v="2721.9999999999945"/>
    <n v="2721.9999999999945"/>
    <n v="1100000"/>
    <n v="33000"/>
    <n v="61875"/>
    <n v="3162623749.9999938"/>
    <n v="3162623749.9999938"/>
    <n v="918544973.75403845"/>
    <n v="13778174606.310577"/>
    <n v="0.22953866098862416"/>
    <n v="7.6512886996208049E-2"/>
    <n v="0.68861598296587245"/>
  </r>
  <r>
    <s v="Cuba"/>
    <s v="CUB"/>
    <s v="Upper middle income"/>
    <x v="5"/>
    <s v="N/A"/>
    <s v="N/A"/>
    <e v="#VALUE!"/>
    <n v="0"/>
    <n v="1100000"/>
    <n v="35000"/>
    <n v="65625"/>
    <e v="#VALUE!"/>
    <n v="0"/>
    <n v="3082852547.1150317"/>
    <n v="46242788206.725479"/>
    <e v="#VALUE!"/>
    <e v="#VALUE!"/>
    <e v="#VALUE!"/>
  </r>
  <r>
    <s v="Curacao"/>
    <s v="CUW"/>
    <s v="High income: nonOECD"/>
    <x v="5"/>
    <s v="N/A"/>
    <s v="N/A"/>
    <e v="#VALUE!"/>
    <n v="0"/>
    <n v="1100000"/>
    <n v="35000"/>
    <n v="65625"/>
    <e v="#VALUE!"/>
    <n v="0"/>
    <s v="N/A"/>
    <e v="#VALUE!"/>
    <e v="#VALUE!"/>
    <e v="#VALUE!"/>
    <e v="#VALUE!"/>
  </r>
  <r>
    <s v="Cyprus"/>
    <s v="CYP"/>
    <s v="High income: nonOECD"/>
    <x v="1"/>
    <n v="12483"/>
    <n v="65.424977970039293"/>
    <n v="4315.9999999999955"/>
    <n v="4315.9999999999955"/>
    <n v="1100000"/>
    <n v="33000"/>
    <n v="61875"/>
    <n v="5014652499.9999943"/>
    <n v="5014652499.9999943"/>
    <n v="2097439.0563930012"/>
    <n v="31461585.845895018"/>
    <n v="159.38969270534358"/>
    <n v="53.129897568447866"/>
    <n v="478.16907811603079"/>
  </r>
  <r>
    <s v="Czech Republic"/>
    <s v="CZE"/>
    <s v="High income: OECD"/>
    <x v="1"/>
    <n v="130671"/>
    <s v="N/A"/>
    <e v="#VALUE!"/>
    <n v="0"/>
    <s v="N/A"/>
    <s v="N/A"/>
    <e v="#VALUE!"/>
    <e v="#VALUE!"/>
    <n v="0"/>
    <n v="1366868039.2637777"/>
    <n v="20503020588.956665"/>
    <e v="#VALUE!"/>
    <e v="#VALUE!"/>
    <e v="#VALUE!"/>
  </r>
  <r>
    <s v="Denmark"/>
    <s v="DNK"/>
    <s v="High income: OECD"/>
    <x v="1"/>
    <n v="74054"/>
    <n v="100"/>
    <n v="0"/>
    <n v="0"/>
    <s v="N/A"/>
    <s v="N/A"/>
    <e v="#VALUE!"/>
    <e v="#VALUE!"/>
    <n v="0"/>
    <n v="6826937316.8512735"/>
    <n v="102404059752.7691"/>
    <e v="#VALUE!"/>
    <e v="#VALUE!"/>
    <e v="#VALUE!"/>
  </r>
  <r>
    <s v="Djibouti"/>
    <s v="DJI"/>
    <s v="Lower middle income"/>
    <x v="2"/>
    <s v="N/A"/>
    <s v="N/A"/>
    <e v="#VALUE!"/>
    <n v="0"/>
    <n v="1000000"/>
    <n v="30000"/>
    <n v="56250"/>
    <e v="#VALUE!"/>
    <n v="0"/>
    <s v="N/A"/>
    <e v="#VALUE!"/>
    <e v="#VALUE!"/>
    <e v="#VALUE!"/>
    <e v="#VALUE!"/>
  </r>
  <r>
    <s v="Dominica"/>
    <s v="DMA"/>
    <s v="Upper middle income"/>
    <x v="5"/>
    <n v="905"/>
    <n v="81.878453038673996"/>
    <n v="164.00000000000037"/>
    <n v="164.00000000000037"/>
    <n v="1100000"/>
    <n v="35000"/>
    <n v="65625"/>
    <n v="191162500.00000042"/>
    <n v="191162500.00000042"/>
    <n v="491062.11491866165"/>
    <n v="7365931.7237799251"/>
    <n v="25.952249785707064"/>
    <n v="8.6507499285690201"/>
    <n v="77.856749357121174"/>
  </r>
  <r>
    <s v="Dominican Republic"/>
    <s v="DOM"/>
    <s v="Upper middle income"/>
    <x v="5"/>
    <s v="N/A"/>
    <s v="N/A"/>
    <e v="#VALUE!"/>
    <n v="0"/>
    <n v="1100000"/>
    <n v="35000"/>
    <n v="65625"/>
    <e v="#VALUE!"/>
    <n v="0"/>
    <n v="129924258.050329"/>
    <n v="1948863870.754935"/>
    <e v="#VALUE!"/>
    <e v="#VALUE!"/>
    <e v="#VALUE!"/>
  </r>
  <r>
    <s v="Ecuador"/>
    <s v="ECU"/>
    <s v="Upper middle income"/>
    <x v="5"/>
    <s v="N/A"/>
    <s v="N/A"/>
    <e v="#VALUE!"/>
    <n v="0"/>
    <n v="1100000"/>
    <n v="35000"/>
    <n v="65625"/>
    <e v="#VALUE!"/>
    <n v="0"/>
    <n v="12579420182.430964"/>
    <n v="188691302736.46445"/>
    <e v="#VALUE!"/>
    <e v="#VALUE!"/>
    <e v="#VALUE!"/>
  </r>
  <r>
    <s v="Egypt, Arab Rep."/>
    <s v="EGY"/>
    <s v="Lower middle income"/>
    <x v="2"/>
    <n v="137430"/>
    <n v="92.209852288437801"/>
    <n v="10705.999999999933"/>
    <n v="10705.999999999933"/>
    <n v="1000000"/>
    <n v="30000"/>
    <n v="56250"/>
    <n v="11308212499.999929"/>
    <n v="11308212499.999929"/>
    <n v="26385352958.727764"/>
    <n v="395780294380.91644"/>
    <n v="2.8571944234081565E-2"/>
    <n v="9.5239814113605211E-3"/>
    <n v="8.5715832702244685E-2"/>
  </r>
  <r>
    <s v="El Salvador"/>
    <s v="SLV"/>
    <s v="Lower middle income"/>
    <x v="5"/>
    <n v="7259"/>
    <n v="51.412040225926397"/>
    <n v="3527.0000000000032"/>
    <n v="3527.0000000000032"/>
    <n v="1100000"/>
    <n v="35000"/>
    <n v="65625"/>
    <n v="4111159375.0000038"/>
    <n v="4111159375.0000038"/>
    <n v="390192552.90387428"/>
    <n v="5852888293.5581141"/>
    <n v="0.70241548596184289"/>
    <n v="0.23413849532061426"/>
    <n v="2.1072464578855286"/>
  </r>
  <r>
    <s v="Equatorial Guinea"/>
    <s v="GNQ"/>
    <s v="High income: nonOECD"/>
    <x v="4"/>
    <s v="N/A"/>
    <s v="N/A"/>
    <e v="#VALUE!"/>
    <n v="0"/>
    <n v="1200000"/>
    <n v="35000"/>
    <n v="65625"/>
    <e v="#VALUE!"/>
    <n v="0"/>
    <n v="6226958917.0209513"/>
    <n v="93404383755.31427"/>
    <e v="#VALUE!"/>
    <e v="#VALUE!"/>
    <e v="#VALUE!"/>
  </r>
  <r>
    <s v="Eritrea"/>
    <s v="ERI"/>
    <s v="Low income"/>
    <x v="4"/>
    <s v="N/A"/>
    <s v="N/A"/>
    <e v="#VALUE!"/>
    <n v="0"/>
    <n v="1200000"/>
    <n v="35000"/>
    <n v="65625"/>
    <e v="#VALUE!"/>
    <n v="0"/>
    <n v="76822965.242555067"/>
    <n v="1152344478.6383259"/>
    <e v="#VALUE!"/>
    <e v="#VALUE!"/>
    <e v="#VALUE!"/>
  </r>
  <r>
    <s v="Estonia"/>
    <s v="EST"/>
    <s v="High income: OECD"/>
    <x v="1"/>
    <n v="58412"/>
    <n v="17.8507840854619"/>
    <n v="47984.999999999993"/>
    <n v="47984.999999999993"/>
    <s v="N/A"/>
    <s v="N/A"/>
    <e v="#VALUE!"/>
    <e v="#VALUE!"/>
    <n v="0"/>
    <n v="524357312.05145437"/>
    <n v="7865359680.7718153"/>
    <e v="#VALUE!"/>
    <e v="#VALUE!"/>
    <e v="#VALUE!"/>
  </r>
  <r>
    <s v="Ethiopia"/>
    <s v="ETH"/>
    <s v="Low income"/>
    <x v="4"/>
    <s v="N/A"/>
    <s v="N/A"/>
    <e v="#VALUE!"/>
    <n v="0"/>
    <n v="1200000"/>
    <n v="35000"/>
    <n v="65625"/>
    <e v="#VALUE!"/>
    <n v="0"/>
    <n v="5463318403.1045046"/>
    <n v="81949776046.567566"/>
    <e v="#VALUE!"/>
    <e v="#VALUE!"/>
    <e v="#VALUE!"/>
  </r>
  <r>
    <s v="Faeroe Islands"/>
    <s v="FRO"/>
    <s v="High income: nonOECD"/>
    <x v="1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Fiji"/>
    <s v="FJI"/>
    <s v="Upper middle income"/>
    <x v="3"/>
    <s v="N/A"/>
    <s v="N/A"/>
    <e v="#VALUE!"/>
    <n v="0"/>
    <s v="N/A"/>
    <s v="N/A"/>
    <e v="#VALUE!"/>
    <e v="#VALUE!"/>
    <n v="0"/>
    <n v="87317583.851148248"/>
    <n v="1309763757.7672238"/>
    <e v="#VALUE!"/>
    <e v="#VALUE!"/>
    <e v="#VALUE!"/>
  </r>
  <r>
    <s v="Finland"/>
    <s v="FIN"/>
    <s v="High income: OECD"/>
    <x v="1"/>
    <n v="78161"/>
    <n v="65.270403398114198"/>
    <n v="27144.999999999964"/>
    <n v="27144.999999999964"/>
    <s v="N/A"/>
    <s v="N/A"/>
    <e v="#VALUE!"/>
    <e v="#VALUE!"/>
    <n v="0"/>
    <n v="3328745232.5822215"/>
    <n v="49931178488.733322"/>
    <e v="#VALUE!"/>
    <e v="#VALUE!"/>
    <e v="#VALUE!"/>
  </r>
  <r>
    <s v="France"/>
    <s v="FRA"/>
    <s v="High income: OECD"/>
    <x v="1"/>
    <n v="1049446"/>
    <n v="100"/>
    <n v="0"/>
    <n v="0"/>
    <s v="N/A"/>
    <s v="N/A"/>
    <e v="#VALUE!"/>
    <e v="#VALUE!"/>
    <n v="0"/>
    <n v="4406730484.3344297"/>
    <n v="66100957265.016449"/>
    <e v="#VALUE!"/>
    <e v="#VALUE!"/>
    <e v="#VALUE!"/>
  </r>
  <r>
    <s v="French Polynesia"/>
    <s v="PYF"/>
    <s v="High income: nonOECD"/>
    <x v="3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Gabon"/>
    <s v="GAB"/>
    <s v="Upper middle income"/>
    <x v="4"/>
    <s v="N/A"/>
    <s v="N/A"/>
    <e v="#VALUE!"/>
    <n v="0"/>
    <n v="1200000"/>
    <n v="35000"/>
    <n v="65625"/>
    <e v="#VALUE!"/>
    <n v="0"/>
    <n v="6654882999.5966587"/>
    <n v="99823244993.949875"/>
    <e v="#VALUE!"/>
    <e v="#VALUE!"/>
    <e v="#VALUE!"/>
  </r>
  <r>
    <s v="Gambia, The"/>
    <s v="GMB"/>
    <s v="Low income"/>
    <x v="4"/>
    <s v="N/A"/>
    <s v="N/A"/>
    <e v="#VALUE!"/>
    <n v="0"/>
    <n v="1200000"/>
    <n v="35000"/>
    <n v="65625"/>
    <e v="#VALUE!"/>
    <n v="0"/>
    <n v="45972784.152787477"/>
    <n v="689591762.29181218"/>
    <e v="#VALUE!"/>
    <e v="#VALUE!"/>
    <e v="#VALUE!"/>
  </r>
  <r>
    <s v="Georgia"/>
    <s v="GEO"/>
    <s v="Lower middle income"/>
    <x v="1"/>
    <n v="19040"/>
    <s v="N/A"/>
    <e v="#VALUE!"/>
    <n v="0"/>
    <n v="1100000"/>
    <n v="33000"/>
    <n v="61875"/>
    <e v="#VALUE!"/>
    <n v="0"/>
    <n v="123856542.27513833"/>
    <n v="1857848134.127075"/>
    <e v="#VALUE!"/>
    <e v="#VALUE!"/>
    <e v="#VALUE!"/>
  </r>
  <r>
    <s v="Germany"/>
    <s v="DEU"/>
    <s v="High income: OECD"/>
    <x v="1"/>
    <n v="643782"/>
    <s v="N/A"/>
    <e v="#VALUE!"/>
    <n v="0"/>
    <s v="N/A"/>
    <s v="N/A"/>
    <e v="#VALUE!"/>
    <e v="#VALUE!"/>
    <n v="0"/>
    <n v="6763891296.0023947"/>
    <n v="101458369440.03592"/>
    <e v="#VALUE!"/>
    <e v="#VALUE!"/>
    <e v="#VALUE!"/>
  </r>
  <r>
    <s v="Ghana"/>
    <s v="GHA"/>
    <s v="Lower middle income"/>
    <x v="4"/>
    <s v="N/A"/>
    <s v="N/A"/>
    <e v="#VALUE!"/>
    <n v="0"/>
    <n v="1200000"/>
    <n v="35000"/>
    <n v="65625"/>
    <e v="#VALUE!"/>
    <n v="0"/>
    <n v="4194607406.4218354"/>
    <n v="62919111096.32753"/>
    <e v="#VALUE!"/>
    <e v="#VALUE!"/>
    <e v="#VALUE!"/>
  </r>
  <r>
    <s v="Greece"/>
    <s v="GRC"/>
    <s v="High income: OECD"/>
    <x v="1"/>
    <n v="116960"/>
    <s v="N/A"/>
    <e v="#VALUE!"/>
    <n v="0"/>
    <s v="N/A"/>
    <s v="N/A"/>
    <e v="#VALUE!"/>
    <e v="#VALUE!"/>
    <n v="0"/>
    <n v="629296452.81922984"/>
    <n v="9439446792.2884483"/>
    <e v="#VALUE!"/>
    <e v="#VALUE!"/>
    <e v="#VALUE!"/>
  </r>
  <r>
    <s v="Greenland"/>
    <s v="GRL"/>
    <s v="High income: nonOECD"/>
    <x v="1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Grenada"/>
    <s v="GRD"/>
    <s v="Upper middle income"/>
    <x v="5"/>
    <s v="N/A"/>
    <s v="N/A"/>
    <e v="#VALUE!"/>
    <n v="0"/>
    <n v="1100000"/>
    <n v="35000"/>
    <n v="65625"/>
    <e v="#VALUE!"/>
    <n v="0"/>
    <n v="0"/>
    <n v="0"/>
    <e v="#VALUE!"/>
    <e v="#VALUE!"/>
    <e v="#VALUE!"/>
  </r>
  <r>
    <s v="Guam"/>
    <s v="GUM"/>
    <s v="High income: nonOECD"/>
    <x v="3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Guatemala"/>
    <s v="GTM"/>
    <s v="Lower middle income"/>
    <x v="5"/>
    <n v="16122"/>
    <n v="43.046768391018503"/>
    <n v="9181.9999999999964"/>
    <n v="9181.9999999999964"/>
    <n v="1100000"/>
    <n v="35000"/>
    <n v="65625"/>
    <n v="10702768749.999996"/>
    <n v="10702768749.999996"/>
    <n v="1835017152.9300125"/>
    <n v="27525257293.950188"/>
    <n v="0.38883446703883751"/>
    <n v="0.12961148901294586"/>
    <n v="1.1665034011165125"/>
  </r>
  <r>
    <s v="Guinea"/>
    <s v="GIN"/>
    <s v="Low income"/>
    <x v="4"/>
    <n v="43348"/>
    <s v="N/A"/>
    <e v="#VALUE!"/>
    <n v="0"/>
    <n v="1200000"/>
    <n v="35000"/>
    <n v="65625"/>
    <e v="#VALUE!"/>
    <n v="0"/>
    <n v="1333953226.6564479"/>
    <n v="20009298399.846718"/>
    <e v="#VALUE!"/>
    <e v="#VALUE!"/>
    <e v="#VALUE!"/>
  </r>
  <r>
    <s v="Guinea-Bissau"/>
    <s v="GNB"/>
    <s v="Low income"/>
    <x v="4"/>
    <s v="N/A"/>
    <s v="N/A"/>
    <e v="#VALUE!"/>
    <n v="0"/>
    <n v="1200000"/>
    <n v="35000"/>
    <n v="65625"/>
    <e v="#VALUE!"/>
    <n v="0"/>
    <n v="142038641.37615088"/>
    <n v="2130579620.6422632"/>
    <e v="#VALUE!"/>
    <e v="#VALUE!"/>
    <e v="#VALUE!"/>
  </r>
  <r>
    <s v="Guyana"/>
    <s v="GUY"/>
    <s v="Lower middle income"/>
    <x v="5"/>
    <s v="N/A"/>
    <s v="N/A"/>
    <e v="#VALUE!"/>
    <n v="0"/>
    <n v="1100000"/>
    <n v="35000"/>
    <n v="65625"/>
    <e v="#VALUE!"/>
    <n v="0"/>
    <n v="405082963.00590253"/>
    <n v="6076244445.0885382"/>
    <e v="#VALUE!"/>
    <e v="#VALUE!"/>
    <e v="#VALUE!"/>
  </r>
  <r>
    <s v="Haiti"/>
    <s v="HTI"/>
    <s v="Low income"/>
    <x v="5"/>
    <s v="N/A"/>
    <s v="N/A"/>
    <e v="#VALUE!"/>
    <n v="0"/>
    <n v="1100000"/>
    <n v="35000"/>
    <n v="65625"/>
    <e v="#VALUE!"/>
    <n v="0"/>
    <n v="161012362.10944861"/>
    <n v="2415185431.6417294"/>
    <e v="#VALUE!"/>
    <e v="#VALUE!"/>
    <e v="#VALUE!"/>
  </r>
  <r>
    <s v="Honduras"/>
    <s v="HND"/>
    <s v="Lower middle income"/>
    <x v="5"/>
    <s v="N/A"/>
    <s v="N/A"/>
    <e v="#VALUE!"/>
    <n v="0"/>
    <n v="1100000"/>
    <n v="35000"/>
    <n v="65625"/>
    <e v="#VALUE!"/>
    <n v="0"/>
    <n v="717924436.29793561"/>
    <n v="10768866544.469034"/>
    <e v="#VALUE!"/>
    <e v="#VALUE!"/>
    <e v="#VALUE!"/>
  </r>
  <r>
    <s v="Hong Kong SAR, China"/>
    <s v="HKG"/>
    <s v="High income: nonOECD"/>
    <x v="3"/>
    <n v="2076"/>
    <n v="100"/>
    <n v="0"/>
    <n v="0"/>
    <s v="N/A"/>
    <s v="N/A"/>
    <e v="#VALUE!"/>
    <e v="#VALUE!"/>
    <n v="0"/>
    <n v="3134453.5797919827"/>
    <n v="47016803.696879737"/>
    <e v="#VALUE!"/>
    <e v="#VALUE!"/>
    <e v="#VALUE!"/>
  </r>
  <r>
    <s v="Hungary"/>
    <s v="HUN"/>
    <s v="Upper middle income"/>
    <x v="1"/>
    <n v="199567"/>
    <n v="38.123537458597902"/>
    <n v="123484.99999999993"/>
    <n v="123484.99999999993"/>
    <n v="1100000"/>
    <n v="33000"/>
    <n v="61875"/>
    <n v="143474134374.99991"/>
    <n v="143474134374.99991"/>
    <n v="1095685098.3472166"/>
    <n v="16435276475.208248"/>
    <n v="8.7296453206262221"/>
    <n v="2.9098817735420743"/>
    <n v="26.188935961878666"/>
  </r>
  <r>
    <s v="Iceland"/>
    <s v="ISL"/>
    <s v="High income: OECD"/>
    <x v="1"/>
    <n v="12862"/>
    <n v="39.869382677655103"/>
    <n v="7734.0000000000018"/>
    <n v="7734.0000000000018"/>
    <s v="N/A"/>
    <s v="N/A"/>
    <e v="#VALUE!"/>
    <e v="#VALUE!"/>
    <n v="0"/>
    <n v="0"/>
    <n v="0"/>
    <e v="#VALUE!"/>
    <e v="#VALUE!"/>
    <e v="#VALUE!"/>
  </r>
  <r>
    <s v="India"/>
    <s v="IND"/>
    <s v="Lower middle income"/>
    <x v="0"/>
    <n v="4582439"/>
    <n v="53.09"/>
    <n v="2149622.1348999999"/>
    <n v="2149622.1348999999"/>
    <n v="1000000"/>
    <n v="30000"/>
    <n v="56250"/>
    <n v="2270538379988.125"/>
    <n v="2270538379988.125"/>
    <n v="106120979971.95012"/>
    <n v="1591814699579.2517"/>
    <n v="1.426383598912784"/>
    <n v="0.47546119963759464"/>
    <n v="4.2791507967383522"/>
  </r>
  <r>
    <s v="Indonesia"/>
    <s v="IDN"/>
    <s v="Lower middle income"/>
    <x v="3"/>
    <n v="487314"/>
    <n v="56.997131213139802"/>
    <n v="209558.99999999988"/>
    <n v="209558.99999999988"/>
    <n v="1100000"/>
    <n v="33000"/>
    <n v="61875"/>
    <n v="243481363124.99988"/>
    <n v="243481363124.99988"/>
    <n v="59899197819.567902"/>
    <n v="898487967293.51855"/>
    <n v="0.27099012116815502"/>
    <n v="9.0330040389384997E-2"/>
    <n v="0.81297036350446494"/>
  </r>
  <r>
    <s v="Iran, Islamic Rep."/>
    <s v="IRN"/>
    <s v="Upper middle income"/>
    <x v="2"/>
    <n v="198866"/>
    <n v="80.644252914022502"/>
    <n v="38492"/>
    <n v="38492"/>
    <n v="1000000"/>
    <n v="30000"/>
    <n v="56250"/>
    <n v="40657175000"/>
    <n v="40657175000"/>
    <n v="130357567150.05748"/>
    <n v="1955363507250.8623"/>
    <n v="2.0792642825354677E-2"/>
    <n v="6.9308809417848926E-3"/>
    <n v="6.2377928476064028E-2"/>
  </r>
  <r>
    <s v="Iraq"/>
    <s v="IRQ"/>
    <s v="Upper middle income"/>
    <x v="2"/>
    <n v="41716.199999999997"/>
    <s v="N/A"/>
    <e v="#VALUE!"/>
    <n v="0"/>
    <n v="1000000"/>
    <n v="30000"/>
    <n v="56250"/>
    <e v="#VALUE!"/>
    <n v="0"/>
    <n v="60551177603.513367"/>
    <n v="908267664052.70044"/>
    <e v="#VALUE!"/>
    <e v="#VALUE!"/>
    <e v="#VALUE!"/>
  </r>
  <r>
    <s v="Ireland"/>
    <s v="IRL"/>
    <s v="High income: OECD"/>
    <x v="1"/>
    <n v="96002"/>
    <n v="100"/>
    <n v="0"/>
    <n v="0"/>
    <s v="N/A"/>
    <s v="N/A"/>
    <e v="#VALUE!"/>
    <e v="#VALUE!"/>
    <n v="0"/>
    <n v="414476099.13160717"/>
    <n v="6217141486.9741077"/>
    <e v="#VALUE!"/>
    <e v="#VALUE!"/>
    <e v="#VALUE!"/>
  </r>
  <r>
    <s v="Isle of Man"/>
    <s v="IMY"/>
    <s v="High income: nonOECD"/>
    <x v="1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Israel"/>
    <s v="ISR"/>
    <s v="High income: OECD"/>
    <x v="2"/>
    <n v="18482"/>
    <n v="100"/>
    <n v="0"/>
    <n v="0"/>
    <n v="1000000"/>
    <n v="30000"/>
    <n v="56250"/>
    <n v="0"/>
    <n v="0"/>
    <n v="683998780.19966102"/>
    <n v="10259981702.994915"/>
    <n v="0"/>
    <n v="0"/>
    <n v="0"/>
  </r>
  <r>
    <s v="Italy"/>
    <s v="ITA"/>
    <s v="High income: OECD"/>
    <x v="1"/>
    <s v="N/A"/>
    <s v="N/A"/>
    <e v="#VALUE!"/>
    <n v="0"/>
    <s v="N/A"/>
    <s v="N/A"/>
    <e v="#VALUE!"/>
    <e v="#VALUE!"/>
    <n v="0"/>
    <n v="3978955289.0601716"/>
    <n v="59684329335.902573"/>
    <e v="#VALUE!"/>
    <e v="#VALUE!"/>
    <e v="#VALUE!"/>
  </r>
  <r>
    <s v="Jamaica"/>
    <s v="JAM"/>
    <s v="Upper middle income"/>
    <x v="5"/>
    <n v="22121"/>
    <s v="N/A"/>
    <e v="#VALUE!"/>
    <n v="0"/>
    <n v="1100000"/>
    <n v="35000"/>
    <n v="65625"/>
    <e v="#VALUE!"/>
    <n v="0"/>
    <n v="244066186.95842627"/>
    <n v="3660992804.3763938"/>
    <e v="#VALUE!"/>
    <e v="#VALUE!"/>
    <e v="#VALUE!"/>
  </r>
  <r>
    <s v="Japan"/>
    <s v="JPN"/>
    <s v="High income: OECD"/>
    <x v="3"/>
    <n v="336578"/>
    <s v="N/A"/>
    <e v="#VALUE!"/>
    <n v="0"/>
    <n v="1300000"/>
    <n v="40000"/>
    <n v="75000"/>
    <e v="#VALUE!"/>
    <n v="0"/>
    <n v="1629780081.2566016"/>
    <n v="24446701218.849022"/>
    <e v="#VALUE!"/>
    <e v="#VALUE!"/>
    <e v="#VALUE!"/>
  </r>
  <r>
    <s v="Jordan"/>
    <s v="JOR"/>
    <s v="Upper middle income"/>
    <x v="2"/>
    <n v="7100"/>
    <n v="100"/>
    <n v="0"/>
    <n v="0"/>
    <n v="1000000"/>
    <n v="30000"/>
    <n v="56250"/>
    <n v="0"/>
    <n v="0"/>
    <n v="479904568.92910677"/>
    <n v="7198568533.9366016"/>
    <n v="0"/>
    <n v="0"/>
    <n v="0"/>
  </r>
  <r>
    <s v="Kazakhstan"/>
    <s v="KAZ"/>
    <s v="Upper middle income"/>
    <x v="1"/>
    <n v="96018"/>
    <n v="89.525922222916506"/>
    <n v="10057.000000000025"/>
    <n v="10057.000000000025"/>
    <n v="1100000"/>
    <n v="33000"/>
    <n v="61875"/>
    <n v="11684976875.000031"/>
    <n v="11684976875.000031"/>
    <n v="52080674870.849876"/>
    <n v="781210123062.74817"/>
    <n v="1.4957533869618678E-2"/>
    <n v="4.985844623206225E-3"/>
    <n v="4.4872601608856033E-2"/>
  </r>
  <r>
    <s v="Kenya"/>
    <s v="KEN"/>
    <s v="Low income"/>
    <x v="4"/>
    <n v="61947"/>
    <n v="14.3332203335109"/>
    <n v="53068"/>
    <n v="53068"/>
    <n v="1200000"/>
    <n v="35000"/>
    <n v="65625"/>
    <n v="67164187500"/>
    <n v="67164187500"/>
    <n v="1419333043.2990847"/>
    <n v="21289995649.486271"/>
    <n v="3.1547299776747808"/>
    <n v="1.0515766592249267"/>
    <n v="9.4641899330243415"/>
  </r>
  <r>
    <s v="Kiribati"/>
    <s v="KIR"/>
    <s v="Lower middle income"/>
    <x v="3"/>
    <s v="N/A"/>
    <s v="N/A"/>
    <e v="#VALUE!"/>
    <n v="0"/>
    <s v="N/A"/>
    <s v="N/A"/>
    <e v="#VALUE!"/>
    <e v="#VALUE!"/>
    <n v="0"/>
    <n v="147463.39816805688"/>
    <n v="2211950.9725208534"/>
    <e v="#VALUE!"/>
    <e v="#VALUE!"/>
    <e v="#VALUE!"/>
  </r>
  <r>
    <s v="Korea, Dem. Rep."/>
    <s v="PRK"/>
    <s v="Low income"/>
    <x v="3"/>
    <s v="N/A"/>
    <s v="N/A"/>
    <e v="#VALUE!"/>
    <n v="0"/>
    <n v="1300000"/>
    <n v="40000"/>
    <n v="75000"/>
    <e v="#VALUE!"/>
    <n v="0"/>
    <s v="N/A"/>
    <e v="#VALUE!"/>
    <e v="#VALUE!"/>
    <e v="#VALUE!"/>
    <e v="#VALUE!"/>
  </r>
  <r>
    <s v="Korea, Rep."/>
    <s v="KOR"/>
    <s v="High income: OECD"/>
    <x v="3"/>
    <n v="105565"/>
    <n v="79.766020934969006"/>
    <n v="21359.999999999967"/>
    <n v="21359.999999999967"/>
    <n v="1300000"/>
    <n v="40000"/>
    <n v="75000"/>
    <n v="29369999999.999954"/>
    <n v="29369999999.999954"/>
    <n v="614733047.31301725"/>
    <n v="9220995709.6952591"/>
    <n v="3.1851224015991426"/>
    <n v="1.0617074671997142"/>
    <n v="9.5553672047974274"/>
  </r>
  <r>
    <s v="Kosovo"/>
    <s v="KSV"/>
    <s v="Lower middle income"/>
    <x v="1"/>
    <n v="6955"/>
    <n v="26.024442846872802"/>
    <n v="5144.9999999999973"/>
    <n v="5144.9999999999973"/>
    <n v="1100000"/>
    <n v="33000"/>
    <n v="61875"/>
    <n v="5977846874.9999971"/>
    <n v="5977846874.9999971"/>
    <n v="177423641.54793903"/>
    <n v="2661354623.2190857"/>
    <n v="2.2461669793442982"/>
    <n v="0.74872232644809944"/>
    <n v="6.738500938032896"/>
  </r>
  <r>
    <s v="Kuwait"/>
    <s v="KWT"/>
    <s v="High income: nonOECD"/>
    <x v="2"/>
    <n v="6609"/>
    <s v="N/A"/>
    <e v="#VALUE!"/>
    <n v="0"/>
    <n v="1000000"/>
    <n v="30000"/>
    <n v="56250"/>
    <e v="#VALUE!"/>
    <n v="0"/>
    <n v="62059401760.996567"/>
    <n v="930891026414.94849"/>
    <e v="#VALUE!"/>
    <e v="#VALUE!"/>
    <e v="#VALUE!"/>
  </r>
  <r>
    <s v="Kyrgyz Republic"/>
    <s v="KGZ"/>
    <s v="Low income"/>
    <x v="1"/>
    <s v="N/A"/>
    <s v="N/A"/>
    <e v="#VALUE!"/>
    <n v="0"/>
    <s v="N/A"/>
    <s v="N/A"/>
    <e v="#VALUE!"/>
    <e v="#VALUE!"/>
    <n v="0"/>
    <n v="577303538.49183607"/>
    <n v="8659553077.3775406"/>
    <e v="#VALUE!"/>
    <e v="#VALUE!"/>
    <e v="#VALUE!"/>
  </r>
  <r>
    <s v="Lao PDR"/>
    <s v="LAO"/>
    <s v="Lower middle income"/>
    <x v="3"/>
    <n v="47491"/>
    <s v="N/A"/>
    <e v="#VALUE!"/>
    <n v="0"/>
    <n v="1100000"/>
    <n v="33000"/>
    <n v="61875"/>
    <e v="#VALUE!"/>
    <n v="0"/>
    <n v="1331952550.8132415"/>
    <n v="19979288262.198624"/>
    <e v="#VALUE!"/>
    <e v="#VALUE!"/>
    <e v="#VALUE!"/>
  </r>
  <r>
    <s v="Latvia"/>
    <s v="LVA"/>
    <s v="High income: nonOECD"/>
    <x v="1"/>
    <n v="69406"/>
    <s v="N/A"/>
    <e v="#VALUE!"/>
    <n v="0"/>
    <n v="1100000"/>
    <n v="33000"/>
    <n v="61875"/>
    <e v="#VALUE!"/>
    <n v="0"/>
    <n v="581674804.62426615"/>
    <n v="8725122069.3639927"/>
    <e v="#VALUE!"/>
    <e v="#VALUE!"/>
    <e v="#VALUE!"/>
  </r>
  <r>
    <s v="Lebanon"/>
    <s v="LBN"/>
    <s v="Upper middle income"/>
    <x v="2"/>
    <s v="N/A"/>
    <s v="N/A"/>
    <e v="#VALUE!"/>
    <n v="0"/>
    <n v="1000000"/>
    <n v="30000"/>
    <n v="56250"/>
    <e v="#VALUE!"/>
    <n v="0"/>
    <n v="1265644.42328598"/>
    <n v="18984666.3492897"/>
    <e v="#VALUE!"/>
    <e v="#VALUE!"/>
    <e v="#VALUE!"/>
  </r>
  <r>
    <s v="Lesotho"/>
    <s v="LSO"/>
    <s v="Lower middle income"/>
    <x v="4"/>
    <s v="N/A"/>
    <s v="N/A"/>
    <e v="#VALUE!"/>
    <n v="0"/>
    <n v="1200000"/>
    <n v="35000"/>
    <n v="65625"/>
    <e v="#VALUE!"/>
    <n v="0"/>
    <n v="103261507.33429362"/>
    <n v="1548922610.0144043"/>
    <e v="#VALUE!"/>
    <e v="#VALUE!"/>
    <e v="#VALUE!"/>
  </r>
  <r>
    <s v="Liberia"/>
    <s v="LBR"/>
    <s v="Low income"/>
    <x v="4"/>
    <s v="N/A"/>
    <s v="N/A"/>
    <e v="#VALUE!"/>
    <n v="0"/>
    <n v="1200000"/>
    <n v="35000"/>
    <n v="65625"/>
    <e v="#VALUE!"/>
    <n v="0"/>
    <n v="414154618.30642617"/>
    <n v="6212319274.5963926"/>
    <e v="#VALUE!"/>
    <e v="#VALUE!"/>
    <e v="#VALUE!"/>
  </r>
  <r>
    <s v="Libya"/>
    <s v="LBY"/>
    <s v="Upper middle income"/>
    <x v="2"/>
    <s v="N/A"/>
    <s v="N/A"/>
    <e v="#VALUE!"/>
    <n v="0"/>
    <n v="1000000"/>
    <n v="30000"/>
    <n v="56250"/>
    <e v="#VALUE!"/>
    <n v="0"/>
    <s v="N/A"/>
    <e v="#VALUE!"/>
    <e v="#VALUE!"/>
    <e v="#VALUE!"/>
    <e v="#VALUE!"/>
  </r>
  <r>
    <s v="Liechtenstein"/>
    <s v="LIE"/>
    <s v="High income: nonOECD"/>
    <x v="1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Lithuania"/>
    <s v="LTU"/>
    <s v="High income: nonOECD"/>
    <x v="1"/>
    <n v="82131"/>
    <n v="39.535686119873802"/>
    <n v="49659.945632886447"/>
    <n v="49659.945632886447"/>
    <n v="1100000"/>
    <n v="33000"/>
    <n v="61875"/>
    <n v="57698649332.209938"/>
    <n v="57698649332.209938"/>
    <n v="397630289.50000304"/>
    <n v="5964454342.5000458"/>
    <n v="9.6737515318165919"/>
    <n v="3.2245838439388637"/>
    <n v="29.021254595449776"/>
  </r>
  <r>
    <s v="Luxembourg"/>
    <s v="LUX"/>
    <s v="High income: OECD"/>
    <x v="1"/>
    <s v="N/A"/>
    <s v="N/A"/>
    <e v="#VALUE!"/>
    <n v="0"/>
    <s v="N/A"/>
    <s v="N/A"/>
    <e v="#VALUE!"/>
    <e v="#VALUE!"/>
    <n v="0"/>
    <n v="58508352.210030153"/>
    <n v="877625283.15045226"/>
    <e v="#VALUE!"/>
    <e v="#VALUE!"/>
    <e v="#VALUE!"/>
  </r>
  <r>
    <s v="Macao SAR, China"/>
    <s v="MAC"/>
    <s v="High income: nonOECD"/>
    <x v="3"/>
    <n v="413"/>
    <n v="100"/>
    <n v="0"/>
    <n v="0"/>
    <s v="N/A"/>
    <s v="N/A"/>
    <e v="#VALUE!"/>
    <e v="#VALUE!"/>
    <n v="0"/>
    <n v="278781.88696400158"/>
    <n v="4181728.3044600235"/>
    <e v="#VALUE!"/>
    <e v="#VALUE!"/>
    <e v="#VALUE!"/>
  </r>
  <r>
    <s v="Macedonia, FYR"/>
    <s v="MKD"/>
    <s v="Upper middle income"/>
    <x v="1"/>
    <n v="13934"/>
    <n v="58.669441653509402"/>
    <n v="5759"/>
    <n v="5759"/>
    <n v="1100000"/>
    <n v="33000"/>
    <n v="61875"/>
    <n v="6691238125"/>
    <n v="6691238125"/>
    <n v="424368475.62691891"/>
    <n v="6365527134.4037838"/>
    <n v="1.0511679525857089"/>
    <n v="0.35038931752856967"/>
    <n v="3.1535038577571268"/>
  </r>
  <r>
    <s v="Madagascar"/>
    <s v="MDG"/>
    <s v="Low income"/>
    <x v="4"/>
    <n v="37476"/>
    <n v="16.279752374853199"/>
    <n v="31375.000000000015"/>
    <n v="31375.000000000015"/>
    <n v="1200000"/>
    <n v="35000"/>
    <n v="65625"/>
    <n v="39708984375.000015"/>
    <n v="39708984375.000015"/>
    <n v="692026009.85163426"/>
    <n v="10380390147.774513"/>
    <n v="3.825384577044376"/>
    <n v="1.2751281923481255"/>
    <n v="11.476153731133129"/>
  </r>
  <r>
    <s v="Malawi"/>
    <s v="MWI"/>
    <s v="Low income"/>
    <x v="4"/>
    <s v="N/A"/>
    <s v="N/A"/>
    <e v="#VALUE!"/>
    <n v="0"/>
    <n v="1200000"/>
    <n v="35000"/>
    <n v="65625"/>
    <e v="#VALUE!"/>
    <n v="0"/>
    <n v="403920728.59788555"/>
    <n v="6058810928.9682837"/>
    <e v="#VALUE!"/>
    <e v="#VALUE!"/>
    <e v="#VALUE!"/>
  </r>
  <r>
    <s v="Malaysia"/>
    <s v="MYS"/>
    <s v="Upper middle income"/>
    <x v="3"/>
    <n v="144403"/>
    <n v="80.447774630721"/>
    <n v="28233.999999999949"/>
    <n v="28233.999999999949"/>
    <n v="1100000"/>
    <n v="33000"/>
    <n v="61875"/>
    <n v="32804378749.999939"/>
    <n v="32804378749.999939"/>
    <n v="26660491900.712803"/>
    <n v="399907378510.69202"/>
    <n v="8.2029941213307409E-2"/>
    <n v="2.7343313737769132E-2"/>
    <n v="0.24608982363992221"/>
  </r>
  <r>
    <s v="Maldives"/>
    <s v="MDV"/>
    <s v="Upper middle income"/>
    <x v="0"/>
    <s v="N/A"/>
    <s v="N/A"/>
    <e v="#VALUE!"/>
    <n v="0"/>
    <s v="N/A"/>
    <s v="N/A"/>
    <e v="#VALUE!"/>
    <e v="#VALUE!"/>
    <n v="0"/>
    <n v="1158905.3361817906"/>
    <n v="17383580.042726859"/>
    <e v="#VALUE!"/>
    <e v="#VALUE!"/>
    <e v="#VALUE!"/>
  </r>
  <r>
    <s v="Mali"/>
    <s v="MLI"/>
    <s v="Low income"/>
    <x v="4"/>
    <s v="N/A"/>
    <s v="N/A"/>
    <e v="#VALUE!"/>
    <n v="0"/>
    <n v="1200000"/>
    <n v="35000"/>
    <n v="65625"/>
    <e v="#VALUE!"/>
    <n v="0"/>
    <n v="1347245165.1593575"/>
    <n v="20208677477.390362"/>
    <e v="#VALUE!"/>
    <e v="#VALUE!"/>
    <e v="#VALUE!"/>
  </r>
  <r>
    <s v="Malta"/>
    <s v="MLT"/>
    <s v="High income: nonOECD"/>
    <x v="2"/>
    <s v="N/A"/>
    <s v="N/A"/>
    <e v="#VALUE!"/>
    <n v="0"/>
    <n v="1000000"/>
    <n v="30000"/>
    <n v="56250"/>
    <e v="#VALUE!"/>
    <n v="0"/>
    <n v="0"/>
    <n v="0"/>
    <e v="#VALUE!"/>
    <e v="#VALUE!"/>
    <e v="#VALUE!"/>
  </r>
  <r>
    <s v="Marshall Islands"/>
    <s v="MHL"/>
    <s v="Upper middle income"/>
    <x v="3"/>
    <s v="N/A"/>
    <s v="N/A"/>
    <e v="#VALUE!"/>
    <n v="0"/>
    <s v="N/A"/>
    <s v="N/A"/>
    <e v="#VALUE!"/>
    <e v="#VALUE!"/>
    <n v="0"/>
    <n v="0"/>
    <n v="0"/>
    <e v="#VALUE!"/>
    <e v="#VALUE!"/>
    <e v="#VALUE!"/>
  </r>
  <r>
    <s v="Mauritania"/>
    <s v="MRT"/>
    <s v="Lower middle income"/>
    <x v="4"/>
    <n v="10628"/>
    <n v="29.704554008279999"/>
    <n v="7471.0000000000009"/>
    <n v="7471.0000000000009"/>
    <n v="1200000"/>
    <n v="35000"/>
    <n v="65625"/>
    <n v="9455484375.0000019"/>
    <n v="9455484375.0000019"/>
    <n v="1996969500.3540106"/>
    <n v="29954542505.310158"/>
    <n v="0.31566111795310481"/>
    <n v="0.10522037265103493"/>
    <n v="0.94698335385931454"/>
  </r>
  <r>
    <s v="Mauritius"/>
    <s v="MUS"/>
    <s v="Upper middle income"/>
    <x v="4"/>
    <n v="2080"/>
    <s v="N/A"/>
    <e v="#VALUE!"/>
    <n v="0"/>
    <n v="1200000"/>
    <n v="35000"/>
    <n v="65625"/>
    <e v="#VALUE!"/>
    <n v="0"/>
    <n v="717808.34286977118"/>
    <n v="10767125.143046567"/>
    <e v="#VALUE!"/>
    <e v="#VALUE!"/>
    <e v="#VALUE!"/>
  </r>
  <r>
    <s v="Mexico"/>
    <s v="MEX"/>
    <s v="Upper middle income"/>
    <x v="5"/>
    <n v="371936"/>
    <n v="37.211778370472302"/>
    <n v="233532.00000000015"/>
    <n v="233532.00000000015"/>
    <n v="1100000"/>
    <n v="35000"/>
    <n v="65625"/>
    <n v="272210737500.00018"/>
    <n v="272210737500.00018"/>
    <n v="79509538709.839935"/>
    <n v="1192643080647.5991"/>
    <n v="0.22824157697891573"/>
    <n v="7.6080525659638576E-2"/>
    <n v="0.68472473093674713"/>
  </r>
  <r>
    <s v="Micronesia, Fed. Sts."/>
    <s v="FSM"/>
    <s v="Lower middle income"/>
    <x v="3"/>
    <s v="N/A"/>
    <s v="N/A"/>
    <e v="#VALUE!"/>
    <n v="0"/>
    <s v="N/A"/>
    <s v="N/A"/>
    <e v="#VALUE!"/>
    <e v="#VALUE!"/>
    <n v="0"/>
    <n v="122710.4341582333"/>
    <n v="1840656.5123734996"/>
    <e v="#VALUE!"/>
    <e v="#VALUE!"/>
    <e v="#VALUE!"/>
  </r>
  <r>
    <s v="Moldova"/>
    <s v="MDA"/>
    <s v="Lower middle income"/>
    <x v="1"/>
    <n v="12837"/>
    <n v="86.157201838435796"/>
    <n v="1776.9999999999973"/>
    <n v="1776.9999999999973"/>
    <n v="1100000"/>
    <n v="33000"/>
    <n v="61875"/>
    <n v="2064651874.9999969"/>
    <n v="2064651874.9999969"/>
    <n v="26844920.985309076"/>
    <n v="402673814.77963614"/>
    <n v="5.1273556889461034"/>
    <n v="1.7091185629820345"/>
    <n v="15.38206706683831"/>
  </r>
  <r>
    <s v="Monaco"/>
    <s v="MCO"/>
    <s v="High income: nonOECD"/>
    <x v="1"/>
    <n v="77"/>
    <n v="100"/>
    <n v="0"/>
    <n v="0"/>
    <s v="N/A"/>
    <s v="N/A"/>
    <e v="#VALUE!"/>
    <e v="#VALUE!"/>
    <n v="0"/>
    <n v="0"/>
    <n v="0"/>
    <e v="#VALUE!"/>
    <e v="#VALUE!"/>
    <e v="#VALUE!"/>
  </r>
  <r>
    <s v="Mongolia"/>
    <s v="MNG"/>
    <s v="Lower middle income"/>
    <x v="3"/>
    <s v="N/A"/>
    <s v="N/A"/>
    <e v="#VALUE!"/>
    <n v="0"/>
    <s v="N/A"/>
    <s v="N/A"/>
    <e v="#VALUE!"/>
    <e v="#VALUE!"/>
    <n v="0"/>
    <n v="2578929370.5691776"/>
    <n v="38683940558.537666"/>
    <e v="#VALUE!"/>
    <e v="#VALUE!"/>
    <e v="#VALUE!"/>
  </r>
  <r>
    <s v="Montenegro"/>
    <s v="MNE"/>
    <s v="Upper middle income"/>
    <x v="1"/>
    <n v="7763"/>
    <n v="69.109880200953199"/>
    <n v="2398.0000000000032"/>
    <n v="2398.0000000000032"/>
    <n v="1100000"/>
    <n v="33000"/>
    <n v="61875"/>
    <n v="2786176250.0000038"/>
    <n v="2786176250.0000038"/>
    <n v="57851763.840370655"/>
    <n v="867776457.60555983"/>
    <n v="3.2107073493187985"/>
    <n v="1.0702357831062661"/>
    <n v="9.6321220479563951"/>
  </r>
  <r>
    <s v="Morocco"/>
    <s v="MAR"/>
    <s v="Lower middle income"/>
    <x v="2"/>
    <n v="58395"/>
    <n v="70.4118503296515"/>
    <n v="17278.000000000004"/>
    <n v="17278.000000000004"/>
    <n v="1000000"/>
    <n v="30000"/>
    <n v="56250"/>
    <n v="18249887500.000004"/>
    <n v="18249887500.000004"/>
    <n v="2752538514.3211255"/>
    <n v="41288077714.816879"/>
    <n v="0.44201349421144748"/>
    <n v="0.14733783140381582"/>
    <n v="1.3260404826343426"/>
  </r>
  <r>
    <s v="Mozambique"/>
    <s v="MOZ"/>
    <s v="Low income"/>
    <x v="4"/>
    <s v="N/A"/>
    <s v="N/A"/>
    <e v="#VALUE!"/>
    <n v="0"/>
    <n v="1200000"/>
    <n v="35000"/>
    <n v="65625"/>
    <e v="#VALUE!"/>
    <n v="0"/>
    <n v="1468383419.1173403"/>
    <n v="22025751286.760105"/>
    <e v="#VALUE!"/>
    <e v="#VALUE!"/>
    <e v="#VALUE!"/>
  </r>
  <r>
    <s v="Myanmar"/>
    <s v="MMR"/>
    <s v="Low income"/>
    <x v="3"/>
    <n v="34377"/>
    <n v="48.421909997963802"/>
    <n v="17730.999999999982"/>
    <n v="17730.999999999982"/>
    <n v="1100000"/>
    <n v="33000"/>
    <n v="61875"/>
    <n v="20601205624.999977"/>
    <n v="20601205624.999977"/>
    <s v="N/A"/>
    <e v="#VALUE!"/>
    <e v="#VALUE!"/>
    <e v="#VALUE!"/>
    <e v="#VALUE!"/>
  </r>
  <r>
    <s v="Namibia"/>
    <s v="NAM"/>
    <s v="Upper middle income"/>
    <x v="4"/>
    <n v="44138"/>
    <n v="14.472789886265801"/>
    <n v="37750"/>
    <n v="37750"/>
    <n v="1200000"/>
    <n v="35000"/>
    <n v="65625"/>
    <n v="47777343750"/>
    <n v="47777343750"/>
    <n v="322584332.15443879"/>
    <n v="4838764982.3165817"/>
    <n v="9.8738715198204083"/>
    <n v="3.2912905066068028"/>
    <n v="29.621614559461225"/>
  </r>
  <r>
    <s v="Nepal"/>
    <s v="NPL"/>
    <s v="Low income"/>
    <x v="0"/>
    <s v="N/A"/>
    <s v="N/A"/>
    <e v="#VALUE!"/>
    <n v="0"/>
    <s v="N/A"/>
    <s v="N/A"/>
    <e v="#VALUE!"/>
    <e v="#VALUE!"/>
    <n v="0"/>
    <n v="1089428122.9560325"/>
    <n v="16341421844.340488"/>
    <e v="#VALUE!"/>
    <e v="#VALUE!"/>
    <e v="#VALUE!"/>
  </r>
  <r>
    <s v="Netherlands"/>
    <s v="NLD"/>
    <s v="High income: OECD"/>
    <x v="1"/>
    <n v="137347"/>
    <s v="N/A"/>
    <e v="#VALUE!"/>
    <n v="0"/>
    <s v="N/A"/>
    <s v="N/A"/>
    <e v="#VALUE!"/>
    <e v="#VALUE!"/>
    <n v="0"/>
    <n v="9858835201.9990978"/>
    <n v="147882528029.98648"/>
    <e v="#VALUE!"/>
    <e v="#VALUE!"/>
    <e v="#VALUE!"/>
  </r>
  <r>
    <s v="New Caledonia"/>
    <s v="NCL"/>
    <s v="High income: nonOECD"/>
    <x v="3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New Zealand"/>
    <s v="NZL"/>
    <s v="High income: OECD"/>
    <x v="3"/>
    <n v="94094"/>
    <n v="66.147682105128894"/>
    <n v="31853.000000000022"/>
    <n v="31853.000000000022"/>
    <n v="1300000"/>
    <n v="40000"/>
    <n v="75000"/>
    <n v="43797875000.000031"/>
    <n v="43797875000.000031"/>
    <n v="3454391570.3166966"/>
    <n v="51815873554.75045"/>
    <n v="0.84525980158805347"/>
    <n v="0.28175326719601784"/>
    <n v="2.5357794047641602"/>
  </r>
  <r>
    <s v="Nicaragua"/>
    <s v="NIC"/>
    <s v="Lower middle income"/>
    <x v="5"/>
    <n v="22111.05"/>
    <n v="12.7276180914068"/>
    <n v="19296.839999999997"/>
    <n v="19296.839999999997"/>
    <n v="1100000"/>
    <n v="35000"/>
    <n v="65625"/>
    <n v="22492879124.999996"/>
    <n v="22492879124.999996"/>
    <n v="499234155.04849941"/>
    <n v="7488512325.7274914"/>
    <n v="3.0036512122339154"/>
    <n v="1.0012170707446386"/>
    <n v="9.0109536367017462"/>
  </r>
  <r>
    <s v="Niger"/>
    <s v="NER"/>
    <s v="Low income"/>
    <x v="4"/>
    <n v="19267"/>
    <s v="N/A"/>
    <e v="#VALUE!"/>
    <n v="0"/>
    <n v="1200000"/>
    <n v="35000"/>
    <n v="65625"/>
    <e v="#VALUE!"/>
    <n v="0"/>
    <n v="616279880.15976942"/>
    <n v="9244198202.3965416"/>
    <e v="#VALUE!"/>
    <e v="#VALUE!"/>
    <e v="#VALUE!"/>
  </r>
  <r>
    <s v="Nigeria"/>
    <s v="NGA"/>
    <s v="Lower middle income"/>
    <x v="4"/>
    <s v="N/A"/>
    <s v="N/A"/>
    <e v="#VALUE!"/>
    <n v="0"/>
    <n v="1200000"/>
    <n v="35000"/>
    <n v="65625"/>
    <e v="#VALUE!"/>
    <n v="0"/>
    <n v="105572259626.5011"/>
    <n v="1583583894397.5166"/>
    <e v="#VALUE!"/>
    <e v="#VALUE!"/>
    <e v="#VALUE!"/>
  </r>
  <r>
    <s v="Northern Mariana Islands"/>
    <s v="MNP"/>
    <s v="High income: nonOECD"/>
    <x v="3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Norway"/>
    <s v="NOR"/>
    <s v="High income: OECD"/>
    <x v="1"/>
    <n v="93509"/>
    <n v="80.700253451539396"/>
    <n v="18047.000000000029"/>
    <n v="18047.000000000029"/>
    <s v="N/A"/>
    <s v="N/A"/>
    <e v="#VALUE!"/>
    <e v="#VALUE!"/>
    <n v="0"/>
    <n v="55897649769.889412"/>
    <n v="838464746548.34119"/>
    <e v="#VALUE!"/>
    <e v="#VALUE!"/>
    <e v="#VALUE!"/>
  </r>
  <r>
    <s v="Oman"/>
    <s v="OMN"/>
    <s v="High income: nonOECD"/>
    <x v="2"/>
    <n v="59363"/>
    <n v="48.688577059784699"/>
    <n v="30460.000000000011"/>
    <n v="30460.000000000011"/>
    <n v="1000000"/>
    <n v="30000"/>
    <n v="56250"/>
    <n v="32173375000.000011"/>
    <n v="32173375000.000011"/>
    <n v="24681714780.510975"/>
    <n v="370225721707.66461"/>
    <n v="8.6902052217226966E-2"/>
    <n v="2.8967350739075654E-2"/>
    <n v="0.2607061566516809"/>
  </r>
  <r>
    <s v="Pakistan"/>
    <s v="PAK"/>
    <s v="Lower middle income"/>
    <x v="0"/>
    <n v="261577"/>
    <n v="72.452853270738601"/>
    <n v="72057.000000000087"/>
    <n v="72057.000000000087"/>
    <n v="1100000"/>
    <n v="33000"/>
    <n v="61875"/>
    <n v="83721226875.000107"/>
    <n v="83721226875.000107"/>
    <n v="8516083273.6478567"/>
    <n v="127741249104.71785"/>
    <n v="0.65539696426773109"/>
    <n v="0.21846565475591037"/>
    <n v="1.9661908928031933"/>
  </r>
  <r>
    <s v="Palau"/>
    <s v="PLW"/>
    <s v="Upper middle income"/>
    <x v="3"/>
    <s v="N/A"/>
    <s v="N/A"/>
    <e v="#VALUE!"/>
    <n v="0"/>
    <s v="N/A"/>
    <s v="N/A"/>
    <e v="#VALUE!"/>
    <e v="#VALUE!"/>
    <n v="0"/>
    <n v="0"/>
    <n v="0"/>
    <e v="#VALUE!"/>
    <e v="#VALUE!"/>
    <e v="#VALUE!"/>
  </r>
  <r>
    <s v="Panama"/>
    <s v="PAN"/>
    <s v="Upper middle income"/>
    <x v="5"/>
    <n v="15137.12"/>
    <n v="41.058999334087297"/>
    <n v="8921.9700000000048"/>
    <n v="8921.9700000000048"/>
    <n v="1100000"/>
    <n v="35000"/>
    <n v="65625"/>
    <n v="10399671281.250006"/>
    <n v="10399671281.250006"/>
    <n v="223144062.80733454"/>
    <n v="3347160942.1100183"/>
    <n v="3.1070126178916726"/>
    <n v="1.0356708726305575"/>
    <n v="9.3210378536750174"/>
  </r>
  <r>
    <s v="Papua New Guinea"/>
    <s v="PNG"/>
    <s v="Lower middle income"/>
    <x v="3"/>
    <s v="N/A"/>
    <s v="N/A"/>
    <e v="#VALUE!"/>
    <n v="0"/>
    <s v="N/A"/>
    <s v="N/A"/>
    <e v="#VALUE!"/>
    <e v="#VALUE!"/>
    <n v="0"/>
    <n v="4102225109.4098563"/>
    <n v="61533376641.147842"/>
    <e v="#VALUE!"/>
    <e v="#VALUE!"/>
    <e v="#VALUE!"/>
  </r>
  <r>
    <s v="Paraguay"/>
    <s v="PRY"/>
    <s v="Lower middle income"/>
    <x v="5"/>
    <n v="32059"/>
    <n v="15.159549580461"/>
    <n v="27199.000000000011"/>
    <n v="27199.000000000011"/>
    <n v="1100000"/>
    <n v="35000"/>
    <n v="65625"/>
    <n v="31703834375.000011"/>
    <n v="31703834375.000011"/>
    <n v="1106511912.5295491"/>
    <n v="16597678687.943237"/>
    <n v="1.9101366504961972"/>
    <n v="0.63671221683206569"/>
    <n v="5.7304099514885909"/>
  </r>
  <r>
    <s v="Peru"/>
    <s v="PER"/>
    <s v="Upper middle income"/>
    <x v="5"/>
    <n v="84244.9"/>
    <n v="18.176791710833498"/>
    <n v="68931.880000000034"/>
    <n v="68931.880000000034"/>
    <n v="1100000"/>
    <n v="35000"/>
    <n v="65625"/>
    <n v="80348722625.000046"/>
    <n v="80348722625.000046"/>
    <n v="18873226426.094227"/>
    <n v="283098396391.41339"/>
    <n v="0.28381906661848222"/>
    <n v="9.4606355539494064E-2"/>
    <n v="0.85145719985544666"/>
  </r>
  <r>
    <s v="Philippines"/>
    <s v="PHL"/>
    <s v="Lower middle income"/>
    <x v="3"/>
    <s v="N/A"/>
    <s v="N/A"/>
    <e v="#VALUE!"/>
    <n v="0"/>
    <n v="1100000"/>
    <n v="33000"/>
    <n v="61875"/>
    <e v="#VALUE!"/>
    <n v="0"/>
    <n v="7783755597.3120575"/>
    <n v="116756333959.68086"/>
    <e v="#VALUE!"/>
    <e v="#VALUE!"/>
    <e v="#VALUE!"/>
  </r>
  <r>
    <s v="Poland"/>
    <s v="POL"/>
    <s v="High income: OECD"/>
    <x v="1"/>
    <n v="406122.1"/>
    <n v="67.408299129744506"/>
    <n v="132362.09999999986"/>
    <n v="132362.09999999986"/>
    <s v="N/A"/>
    <s v="N/A"/>
    <e v="#VALUE!"/>
    <e v="#VALUE!"/>
    <n v="0"/>
    <n v="8848984711.9180393"/>
    <n v="132734770678.77058"/>
    <e v="#VALUE!"/>
    <e v="#VALUE!"/>
    <e v="#VALUE!"/>
  </r>
  <r>
    <s v="Portugal"/>
    <s v="PRT"/>
    <s v="High income: OECD"/>
    <x v="1"/>
    <n v="21912"/>
    <s v="N/A"/>
    <e v="#VALUE!"/>
    <n v="0"/>
    <s v="N/A"/>
    <s v="N/A"/>
    <e v="#VALUE!"/>
    <e v="#VALUE!"/>
    <n v="0"/>
    <n v="1382577582.3167782"/>
    <n v="20738663734.751671"/>
    <e v="#VALUE!"/>
    <e v="#VALUE!"/>
    <e v="#VALUE!"/>
  </r>
  <r>
    <s v="Puerto Rico"/>
    <s v="PRI"/>
    <s v="High income: nonOECD"/>
    <x v="5"/>
    <n v="26855.819"/>
    <s v="N/A"/>
    <e v="#VALUE!"/>
    <n v="0"/>
    <n v="1100000"/>
    <n v="35000"/>
    <n v="65625"/>
    <e v="#VALUE!"/>
    <n v="0"/>
    <n v="0"/>
    <n v="0"/>
    <e v="#VALUE!"/>
    <e v="#VALUE!"/>
    <e v="#VALUE!"/>
  </r>
  <r>
    <s v="Qatar"/>
    <s v="QAT"/>
    <s v="High income: nonOECD"/>
    <x v="2"/>
    <n v="9830"/>
    <s v="N/A"/>
    <e v="#VALUE!"/>
    <n v="0"/>
    <n v="1000000"/>
    <n v="30000"/>
    <n v="56250"/>
    <e v="#VALUE!"/>
    <n v="0"/>
    <n v="36198411498.324532"/>
    <n v="542976172474.86798"/>
    <e v="#VALUE!"/>
    <e v="#VALUE!"/>
    <e v="#VALUE!"/>
  </r>
  <r>
    <s v="Romania"/>
    <s v="ROM"/>
    <s v="Upper middle income"/>
    <x v="1"/>
    <n v="109391"/>
    <s v="N/A"/>
    <e v="#VALUE!"/>
    <n v="0"/>
    <n v="1100000"/>
    <n v="33000"/>
    <n v="61875"/>
    <e v="#VALUE!"/>
    <n v="0"/>
    <n v="4151541416.0069842"/>
    <n v="62273121240.104767"/>
    <e v="#VALUE!"/>
    <e v="#VALUE!"/>
    <e v="#VALUE!"/>
  </r>
  <r>
    <s v="Russian Federation"/>
    <s v="RUS"/>
    <s v="High income: nonOECD"/>
    <x v="1"/>
    <n v="1004000"/>
    <s v="N/A"/>
    <e v="#VALUE!"/>
    <n v="0"/>
    <n v="1100000"/>
    <n v="33000"/>
    <n v="61875"/>
    <e v="#VALUE!"/>
    <n v="0"/>
    <n v="321602181004.87122"/>
    <n v="4824032715073.0684"/>
    <e v="#VALUE!"/>
    <e v="#VALUE!"/>
    <e v="#VALUE!"/>
  </r>
  <r>
    <s v="Rwanda"/>
    <s v="RWA"/>
    <s v="Low income"/>
    <x v="4"/>
    <s v="N/A"/>
    <s v="N/A"/>
    <e v="#VALUE!"/>
    <n v="0"/>
    <n v="1200000"/>
    <n v="35000"/>
    <n v="65625"/>
    <e v="#VALUE!"/>
    <n v="0"/>
    <n v="374942592.12015301"/>
    <n v="5624138881.8022947"/>
    <e v="#VALUE!"/>
    <e v="#VALUE!"/>
    <e v="#VALUE!"/>
  </r>
  <r>
    <s v="Samoa"/>
    <s v="WSM"/>
    <s v="Lower middle income"/>
    <x v="3"/>
    <s v="N/A"/>
    <s v="N/A"/>
    <e v="#VALUE!"/>
    <n v="0"/>
    <s v="N/A"/>
    <s v="N/A"/>
    <e v="#VALUE!"/>
    <e v="#VALUE!"/>
    <n v="0"/>
    <n v="4184944.6022272655"/>
    <n v="62774169.033408985"/>
    <e v="#VALUE!"/>
    <e v="#VALUE!"/>
    <e v="#VALUE!"/>
  </r>
  <r>
    <s v="San Marino"/>
    <s v="SMR"/>
    <s v="High income: nonOECD"/>
    <x v="1"/>
    <s v="N/A"/>
    <s v="N/A"/>
    <e v="#VALUE!"/>
    <n v="0"/>
    <s v="N/A"/>
    <s v="N/A"/>
    <e v="#VALUE!"/>
    <e v="#VALUE!"/>
    <n v="0"/>
    <s v="N/A"/>
    <e v="#VALUE!"/>
    <e v="#VALUE!"/>
    <e v="#VALUE!"/>
    <e v="#VALUE!"/>
  </r>
  <r>
    <s v="Sao Tome and Principe"/>
    <s v="STP"/>
    <s v="Lower middle income"/>
    <x v="4"/>
    <s v="N/A"/>
    <s v="N/A"/>
    <e v="#VALUE!"/>
    <n v="0"/>
    <n v="1200000"/>
    <n v="35000"/>
    <n v="65625"/>
    <e v="#VALUE!"/>
    <n v="0"/>
    <n v="6448878.1292010797"/>
    <n v="96733171.938016191"/>
    <e v="#VALUE!"/>
    <e v="#VALUE!"/>
    <e v="#VALUE!"/>
  </r>
  <r>
    <s v="Saudi Arabia"/>
    <s v="SAU"/>
    <s v="High income: nonOECD"/>
    <x v="2"/>
    <s v="N/A"/>
    <s v="N/A"/>
    <e v="#VALUE!"/>
    <n v="0"/>
    <n v="1000000"/>
    <n v="30000"/>
    <n v="56250"/>
    <e v="#VALUE!"/>
    <n v="0"/>
    <n v="227429658719.18033"/>
    <n v="3411444880787.7051"/>
    <e v="#VALUE!"/>
    <e v="#VALUE!"/>
    <e v="#VALUE!"/>
  </r>
  <r>
    <s v="Senegal"/>
    <s v="SEN"/>
    <s v="Lower middle income"/>
    <x v="4"/>
    <n v="14785.1"/>
    <n v="35.5"/>
    <n v="9536.3895000000011"/>
    <n v="9536.3895000000011"/>
    <n v="1200000"/>
    <n v="35000"/>
    <n v="65625"/>
    <n v="12069492960.937502"/>
    <n v="12069492960.937502"/>
    <n v="551591058.22012687"/>
    <n v="8273865873.3019028"/>
    <n v="1.4587489265306224"/>
    <n v="0.48624964217687416"/>
    <n v="4.3762467795918676"/>
  </r>
  <r>
    <s v="Serbia"/>
    <s v="SRB"/>
    <s v="Upper middle income"/>
    <x v="1"/>
    <n v="43753"/>
    <n v="62.859689621283103"/>
    <n v="16250.000000000005"/>
    <n v="16250.000000000005"/>
    <n v="1100000"/>
    <n v="33000"/>
    <n v="61875"/>
    <n v="18880468750.000008"/>
    <n v="18880468750.000008"/>
    <n v="1253506714.6213751"/>
    <n v="18802600719.320625"/>
    <n v="1.0041413436280318"/>
    <n v="0.33471378120934392"/>
    <n v="3.012424030884095"/>
  </r>
  <r>
    <s v="Seychelles"/>
    <s v="SYC"/>
    <s v="Upper middle income"/>
    <x v="4"/>
    <n v="508"/>
    <n v="96.456692913385794"/>
    <n v="18.000000000000192"/>
    <n v="18.000000000000192"/>
    <n v="1200000"/>
    <n v="35000"/>
    <n v="65625"/>
    <n v="22781250.000000242"/>
    <n v="22781250.000000242"/>
    <n v="1160995.7542812461"/>
    <n v="17414936.314218692"/>
    <n v="1.3081443187018802"/>
    <n v="0.43604810623396001"/>
    <n v="3.9244329561056404"/>
  </r>
  <r>
    <s v="Sierra Leone"/>
    <s v="SLE"/>
    <s v="Low income"/>
    <x v="4"/>
    <s v="N/A"/>
    <s v="N/A"/>
    <e v="#VALUE!"/>
    <n v="0"/>
    <n v="1200000"/>
    <n v="35000"/>
    <n v="65625"/>
    <e v="#VALUE!"/>
    <n v="0"/>
    <n v="309951994.2008189"/>
    <n v="4649279913.0122833"/>
    <e v="#VALUE!"/>
    <e v="#VALUE!"/>
    <e v="#VALUE!"/>
  </r>
  <r>
    <s v="Singapore"/>
    <s v="SGP"/>
    <s v="High income: nonOECD"/>
    <x v="3"/>
    <n v="3377"/>
    <n v="100"/>
    <n v="0"/>
    <n v="0"/>
    <n v="1100000"/>
    <n v="33000"/>
    <n v="61875"/>
    <n v="0"/>
    <n v="0"/>
    <n v="0"/>
    <n v="0"/>
    <e v="#DIV/0!"/>
    <e v="#DIV/0!"/>
    <e v="#DIV/0!"/>
  </r>
  <r>
    <s v="Sint Maarten (Dutch part)"/>
    <s v="SXM"/>
    <s v="High income: nonOECD"/>
    <x v="5"/>
    <s v="N/A"/>
    <s v="N/A"/>
    <e v="#VALUE!"/>
    <n v="0"/>
    <n v="1100000"/>
    <n v="35000"/>
    <n v="65625"/>
    <e v="#VALUE!"/>
    <n v="0"/>
    <s v="N/A"/>
    <e v="#VALUE!"/>
    <e v="#VALUE!"/>
    <e v="#VALUE!"/>
    <e v="#VALUE!"/>
  </r>
  <r>
    <s v="Slovak Republic"/>
    <s v="SVK"/>
    <s v="High income: OECD"/>
    <x v="1"/>
    <n v="43325"/>
    <n v="100"/>
    <n v="0"/>
    <n v="0"/>
    <s v="N/A"/>
    <s v="N/A"/>
    <e v="#VALUE!"/>
    <e v="#VALUE!"/>
    <n v="0"/>
    <n v="586207377.22308779"/>
    <n v="8793110658.3463173"/>
    <e v="#VALUE!"/>
    <e v="#VALUE!"/>
    <e v="#VALUE!"/>
  </r>
  <r>
    <s v="Slovenia"/>
    <s v="SVN"/>
    <s v="High income: OECD"/>
    <x v="1"/>
    <n v="39069"/>
    <n v="100"/>
    <n v="0"/>
    <n v="0"/>
    <s v="N/A"/>
    <s v="N/A"/>
    <e v="#VALUE!"/>
    <e v="#VALUE!"/>
    <n v="0"/>
    <n v="179102965.90790325"/>
    <n v="2686544488.6185489"/>
    <e v="#VALUE!"/>
    <e v="#VALUE!"/>
    <e v="#VALUE!"/>
  </r>
  <r>
    <s v="Solomon Islands"/>
    <s v="SLB"/>
    <s v="Lower middle income"/>
    <x v="3"/>
    <s v="N/A"/>
    <s v="N/A"/>
    <e v="#VALUE!"/>
    <n v="0"/>
    <s v="N/A"/>
    <s v="N/A"/>
    <e v="#VALUE!"/>
    <e v="#VALUE!"/>
    <n v="0"/>
    <n v="177911447.47763148"/>
    <n v="2668671712.1644721"/>
    <e v="#VALUE!"/>
    <e v="#VALUE!"/>
    <e v="#VALUE!"/>
  </r>
  <r>
    <s v="Somalia"/>
    <s v="SOM"/>
    <s v="Low income"/>
    <x v="4"/>
    <s v="N/A"/>
    <s v="N/A"/>
    <e v="#VALUE!"/>
    <n v="0"/>
    <n v="1200000"/>
    <n v="35000"/>
    <n v="65625"/>
    <e v="#VALUE!"/>
    <n v="0"/>
    <s v="N/A"/>
    <e v="#VALUE!"/>
    <e v="#VALUE!"/>
    <e v="#VALUE!"/>
    <e v="#VALUE!"/>
  </r>
  <r>
    <s v="South Africa"/>
    <s v="ZAF"/>
    <s v="Upper middle income"/>
    <x v="4"/>
    <s v="N/A"/>
    <s v="N/A"/>
    <e v="#VALUE!"/>
    <n v="0"/>
    <n v="1200000"/>
    <n v="35000"/>
    <n v="65625"/>
    <e v="#VALUE!"/>
    <n v="0"/>
    <n v="29273625097.571095"/>
    <n v="439104376463.56641"/>
    <e v="#VALUE!"/>
    <e v="#VALUE!"/>
    <e v="#VALUE!"/>
  </r>
  <r>
    <s v="South Sudan"/>
    <s v="SSD"/>
    <s v="Low income"/>
    <x v="4"/>
    <s v="N/A"/>
    <s v="N/A"/>
    <e v="#VALUE!"/>
    <n v="0"/>
    <n v="1200000"/>
    <n v="35000"/>
    <n v="65625"/>
    <e v="#VALUE!"/>
    <n v="0"/>
    <n v="0"/>
    <n v="0"/>
    <e v="#VALUE!"/>
    <e v="#VALUE!"/>
    <e v="#VALUE!"/>
  </r>
  <r>
    <s v="Spain"/>
    <s v="ESP"/>
    <s v="High income: OECD"/>
    <x v="1"/>
    <n v="666840"/>
    <s v="N/A"/>
    <e v="#VALUE!"/>
    <n v="0"/>
    <s v="N/A"/>
    <s v="N/A"/>
    <e v="#VALUE!"/>
    <e v="#VALUE!"/>
    <n v="0"/>
    <n v="2120296778.8542163"/>
    <n v="31804451682.813244"/>
    <e v="#VALUE!"/>
    <e v="#VALUE!"/>
    <e v="#VALUE!"/>
  </r>
  <r>
    <s v="Sri Lanka"/>
    <s v="LKA"/>
    <s v="Lower middle income"/>
    <x v="0"/>
    <n v="114093"/>
    <n v="14.876460431402499"/>
    <n v="97119.999999999956"/>
    <n v="97119.999999999956"/>
    <n v="1100000"/>
    <n v="33000"/>
    <n v="61875"/>
    <n v="112841299999.99995"/>
    <n v="112841299999.99995"/>
    <n v="464220477.24420649"/>
    <n v="6963307158.6630974"/>
    <n v="16.205130325123363"/>
    <n v="5.4017101083744539"/>
    <n v="48.61539097537009"/>
  </r>
  <r>
    <s v="St. Kitts and Nevis"/>
    <s v="KNA"/>
    <s v="High income: nonOECD"/>
    <x v="5"/>
    <s v="N/A"/>
    <s v="N/A"/>
    <e v="#VALUE!"/>
    <n v="0"/>
    <n v="1100000"/>
    <n v="35000"/>
    <n v="65625"/>
    <e v="#VALUE!"/>
    <n v="0"/>
    <n v="0"/>
    <n v="0"/>
    <e v="#VALUE!"/>
    <e v="#VALUE!"/>
    <e v="#VALUE!"/>
  </r>
  <r>
    <s v="St. Lucia"/>
    <s v="LCA"/>
    <s v="Upper middle income"/>
    <x v="5"/>
    <s v="N/A"/>
    <s v="N/A"/>
    <e v="#VALUE!"/>
    <n v="0"/>
    <n v="1100000"/>
    <n v="35000"/>
    <n v="65625"/>
    <e v="#VALUE!"/>
    <n v="0"/>
    <n v="643469.71291057637"/>
    <n v="9652045.6936586462"/>
    <e v="#VALUE!"/>
    <e v="#VALUE!"/>
    <e v="#VALUE!"/>
  </r>
  <r>
    <s v="St. Martin (French part)"/>
    <s v="MAF"/>
    <s v="High income: nonOECD"/>
    <x v="5"/>
    <s v="N/A"/>
    <s v="N/A"/>
    <e v="#VALUE!"/>
    <n v="0"/>
    <n v="1100000"/>
    <n v="35000"/>
    <n v="65625"/>
    <e v="#VALUE!"/>
    <n v="0"/>
    <s v="N/A"/>
    <e v="#VALUE!"/>
    <e v="#VALUE!"/>
    <e v="#VALUE!"/>
    <e v="#VALUE!"/>
  </r>
  <r>
    <s v="St. Vincent and the Grenadines"/>
    <s v="VCT"/>
    <s v="Upper middle income"/>
    <x v="5"/>
    <s v="N/A"/>
    <s v="N/A"/>
    <e v="#VALUE!"/>
    <n v="0"/>
    <n v="1100000"/>
    <n v="35000"/>
    <n v="65625"/>
    <e v="#VALUE!"/>
    <n v="0"/>
    <n v="486293.25308693683"/>
    <n v="7294398.7963040527"/>
    <e v="#VALUE!"/>
    <e v="#VALUE!"/>
    <e v="#VALUE!"/>
  </r>
  <r>
    <s v="Sudan"/>
    <s v="SDN"/>
    <s v="Lower middle income"/>
    <x v="4"/>
    <s v="N/A"/>
    <s v="N/A"/>
    <e v="#VALUE!"/>
    <n v="0"/>
    <n v="1200000"/>
    <n v="35000"/>
    <n v="65625"/>
    <e v="#VALUE!"/>
    <n v="0"/>
    <n v="11997149674.977474"/>
    <n v="179957245124.66211"/>
    <e v="#VALUE!"/>
    <e v="#VALUE!"/>
    <e v="#VALUE!"/>
  </r>
  <r>
    <s v="Suriname"/>
    <s v="SUR"/>
    <s v="Upper middle income"/>
    <x v="5"/>
    <s v="N/A"/>
    <s v="N/A"/>
    <e v="#VALUE!"/>
    <n v="0"/>
    <n v="1100000"/>
    <n v="35000"/>
    <n v="65625"/>
    <e v="#VALUE!"/>
    <n v="0"/>
    <n v="608902361.97083366"/>
    <n v="9133535429.5625057"/>
    <e v="#VALUE!"/>
    <e v="#VALUE!"/>
    <e v="#VALUE!"/>
  </r>
  <r>
    <s v="Swaziland"/>
    <s v="SWZ"/>
    <s v="Lower middle income"/>
    <x v="4"/>
    <s v="N/A"/>
    <s v="N/A"/>
    <e v="#VALUE!"/>
    <n v="0"/>
    <n v="1200000"/>
    <n v="35000"/>
    <n v="65625"/>
    <e v="#VALUE!"/>
    <n v="0"/>
    <n v="92945139.393425897"/>
    <n v="1394177090.9013884"/>
    <e v="#VALUE!"/>
    <e v="#VALUE!"/>
    <e v="#VALUE!"/>
  </r>
  <r>
    <s v="Sweden"/>
    <s v="SWE"/>
    <s v="High income: OECD"/>
    <x v="1"/>
    <n v="578274"/>
    <n v="23.3650484026603"/>
    <n v="443160.00000000023"/>
    <n v="443160.00000000023"/>
    <s v="N/A"/>
    <s v="N/A"/>
    <e v="#VALUE!"/>
    <e v="#VALUE!"/>
    <n v="0"/>
    <n v="6600024142.4592056"/>
    <n v="99000362136.888092"/>
    <e v="#VALUE!"/>
    <e v="#VALUE!"/>
    <e v="#VALUE!"/>
  </r>
  <r>
    <s v="Switzerland"/>
    <s v="CHE"/>
    <s v="High income: OECD"/>
    <x v="1"/>
    <n v="71456"/>
    <n v="100"/>
    <n v="0"/>
    <n v="0"/>
    <s v="N/A"/>
    <s v="N/A"/>
    <e v="#VALUE!"/>
    <e v="#VALUE!"/>
    <n v="0"/>
    <n v="278578079.29358196"/>
    <n v="4178671189.4037294"/>
    <e v="#VALUE!"/>
    <e v="#VALUE!"/>
    <e v="#VALUE!"/>
  </r>
  <r>
    <s v="Syrian Arab Republic"/>
    <s v="SYR"/>
    <s v="Lower middle income"/>
    <x v="2"/>
    <n v="69873"/>
    <n v="64.896311880125396"/>
    <n v="24527.999999999985"/>
    <n v="24527.999999999985"/>
    <n v="1000000"/>
    <n v="30000"/>
    <n v="56250"/>
    <n v="25907699999.999985"/>
    <n v="25907699999.999985"/>
    <s v="N/A"/>
    <e v="#VALUE!"/>
    <e v="#VALUE!"/>
    <e v="#VALUE!"/>
    <e v="#VALUE!"/>
  </r>
  <r>
    <s v="Tajikistan"/>
    <s v="TJK"/>
    <s v="Low income"/>
    <x v="1"/>
    <s v="N/A"/>
    <s v="N/A"/>
    <e v="#VALUE!"/>
    <n v="0"/>
    <s v="N/A"/>
    <s v="N/A"/>
    <e v="#VALUE!"/>
    <e v="#VALUE!"/>
    <n v="0"/>
    <n v="89930664.353367537"/>
    <n v="1348959965.300513"/>
    <e v="#VALUE!"/>
    <e v="#VALUE!"/>
    <e v="#VALUE!"/>
  </r>
  <r>
    <s v="Tanzania"/>
    <s v="TZA"/>
    <s v="Low income"/>
    <x v="4"/>
    <n v="83739"/>
    <s v="N/A"/>
    <e v="#VALUE!"/>
    <n v="0"/>
    <n v="1200000"/>
    <n v="35000"/>
    <n v="65625"/>
    <e v="#VALUE!"/>
    <n v="0"/>
    <n v="2569147998.6777964"/>
    <n v="38537219980.166946"/>
    <e v="#VALUE!"/>
    <e v="#VALUE!"/>
    <e v="#VALUE!"/>
  </r>
  <r>
    <s v="Thailand"/>
    <s v="THA"/>
    <s v="Upper middle income"/>
    <x v="3"/>
    <s v="N/A"/>
    <s v="N/A"/>
    <e v="#VALUE!"/>
    <n v="0"/>
    <n v="1100000"/>
    <n v="33000"/>
    <n v="61875"/>
    <e v="#VALUE!"/>
    <n v="0"/>
    <n v="13671322551.946495"/>
    <n v="205069838279.19742"/>
    <e v="#VALUE!"/>
    <e v="#VALUE!"/>
    <e v="#VALUE!"/>
  </r>
  <r>
    <s v="Timor-Leste"/>
    <s v="TMP"/>
    <s v="Lower middle income"/>
    <x v="3"/>
    <s v="N/A"/>
    <s v="N/A"/>
    <e v="#VALUE!"/>
    <n v="0"/>
    <s v="N/A"/>
    <s v="N/A"/>
    <e v="#VALUE!"/>
    <e v="#VALUE!"/>
    <n v="0"/>
    <n v="6029932.4922673218"/>
    <n v="90448987.384009823"/>
    <e v="#VALUE!"/>
    <e v="#VALUE!"/>
    <e v="#VALUE!"/>
  </r>
  <r>
    <s v="Togo"/>
    <s v="TGO"/>
    <s v="Low income"/>
    <x v="4"/>
    <s v="N/A"/>
    <s v="N/A"/>
    <e v="#VALUE!"/>
    <n v="0"/>
    <n v="1200000"/>
    <n v="35000"/>
    <n v="65625"/>
    <e v="#VALUE!"/>
    <n v="0"/>
    <n v="289914233.93356359"/>
    <n v="4348713509.0034542"/>
    <e v="#VALUE!"/>
    <e v="#VALUE!"/>
    <e v="#VALUE!"/>
  </r>
  <r>
    <s v="Tonga"/>
    <s v="TON"/>
    <s v="Upper middle income"/>
    <x v="3"/>
    <s v="N/A"/>
    <s v="N/A"/>
    <e v="#VALUE!"/>
    <n v="0"/>
    <s v="N/A"/>
    <s v="N/A"/>
    <e v="#VALUE!"/>
    <e v="#VALUE!"/>
    <n v="0"/>
    <n v="258294.04268454493"/>
    <n v="3874410.640268174"/>
    <e v="#VALUE!"/>
    <e v="#VALUE!"/>
    <e v="#VALUE!"/>
  </r>
  <r>
    <s v="Trinidad and Tobago"/>
    <s v="TTO"/>
    <s v="High income: nonOECD"/>
    <x v="5"/>
    <s v="N/A"/>
    <s v="N/A"/>
    <e v="#VALUE!"/>
    <n v="0"/>
    <n v="1100000"/>
    <n v="35000"/>
    <n v="65625"/>
    <e v="#VALUE!"/>
    <n v="0"/>
    <n v="8121778589.9499531"/>
    <n v="121826678849.2493"/>
    <e v="#VALUE!"/>
    <e v="#VALUE!"/>
    <e v="#VALUE!"/>
  </r>
  <r>
    <s v="Tunisia"/>
    <s v="TUN"/>
    <s v="Upper middle income"/>
    <x v="2"/>
    <n v="19418.005000000001"/>
    <n v="75.994310435083307"/>
    <n v="4661.4260000000013"/>
    <n v="4661.4260000000013"/>
    <n v="1000000"/>
    <n v="30000"/>
    <n v="56250"/>
    <n v="4923631212.500001"/>
    <n v="4923631212.500001"/>
    <n v="2923132889.5717616"/>
    <n v="43846993343.576424"/>
    <n v="0.11229119346723261"/>
    <n v="3.7430397822410873E-2"/>
    <n v="0.33687358040169785"/>
  </r>
  <r>
    <s v="Turkey"/>
    <s v="TUR"/>
    <s v="Upper middle income"/>
    <x v="1"/>
    <n v="367263"/>
    <n v="89.363480666443394"/>
    <n v="39063.999999999993"/>
    <n v="39063.999999999993"/>
    <n v="1100000"/>
    <n v="33000"/>
    <n v="61875"/>
    <n v="45387484999.999992"/>
    <n v="45387484999.999992"/>
    <n v="4369682103.2413588"/>
    <n v="65545231548.620384"/>
    <n v="0.69246051814360132"/>
    <n v="0.23082017271453376"/>
    <n v="2.0773815544308039"/>
  </r>
  <r>
    <s v="Turkmenistan"/>
    <s v="TKM"/>
    <s v="Upper middle income"/>
    <x v="1"/>
    <s v="N/A"/>
    <s v="N/A"/>
    <e v="#VALUE!"/>
    <n v="0"/>
    <s v="N/A"/>
    <s v="N/A"/>
    <e v="#VALUE!"/>
    <e v="#VALUE!"/>
    <n v="0"/>
    <n v="8829721321.8512516"/>
    <n v="132445819827.76877"/>
    <e v="#VALUE!"/>
    <e v="#VALUE!"/>
    <e v="#VALUE!"/>
  </r>
  <r>
    <s v="Turks and Caicos Islands"/>
    <s v="TCA"/>
    <s v="High income: nonOECD"/>
    <x v="5"/>
    <s v="N/A"/>
    <s v="N/A"/>
    <e v="#VALUE!"/>
    <n v="0"/>
    <n v="1100000"/>
    <n v="35000"/>
    <n v="65625"/>
    <e v="#VALUE!"/>
    <n v="0"/>
    <s v="N/A"/>
    <e v="#VALUE!"/>
    <e v="#VALUE!"/>
    <e v="#VALUE!"/>
    <e v="#VALUE!"/>
  </r>
  <r>
    <s v="Tuvalu"/>
    <s v="TUV"/>
    <s v="Upper middle income"/>
    <x v="3"/>
    <s v="N/A"/>
    <s v="N/A"/>
    <e v="#VALUE!"/>
    <n v="0"/>
    <s v="N/A"/>
    <s v="N/A"/>
    <e v="#VALUE!"/>
    <e v="#VALUE!"/>
    <n v="0"/>
    <n v="0"/>
    <n v="0"/>
    <e v="#VALUE!"/>
    <e v="#VALUE!"/>
    <e v="#VALUE!"/>
  </r>
  <r>
    <s v="Uganda"/>
    <s v="UGA"/>
    <s v="Low income"/>
    <x v="4"/>
    <s v="N/A"/>
    <s v="N/A"/>
    <e v="#VALUE!"/>
    <n v="0"/>
    <n v="1200000"/>
    <n v="35000"/>
    <n v="65625"/>
    <e v="#VALUE!"/>
    <n v="0"/>
    <n v="2346264440.3663912"/>
    <n v="35193966605.495865"/>
    <e v="#VALUE!"/>
    <e v="#VALUE!"/>
    <e v="#VALUE!"/>
  </r>
  <r>
    <s v="Ukraine"/>
    <s v="UKR"/>
    <s v="Lower middle income"/>
    <x v="1"/>
    <n v="169496.2"/>
    <n v="97.853875190122295"/>
    <n v="3637.5999999999317"/>
    <n v="3637.5999999999317"/>
    <n v="1100000"/>
    <n v="33000"/>
    <n v="61875"/>
    <n v="4226436499.9999208"/>
    <n v="4226436499.9999208"/>
    <n v="7490439523.5188084"/>
    <n v="112356592852.78212"/>
    <n v="3.7616275046162259E-2"/>
    <n v="1.2538758348720752E-2"/>
    <n v="0.11284882513848679"/>
  </r>
  <r>
    <s v="United Arab Emirates"/>
    <s v="ARE"/>
    <s v="High income: nonOECD"/>
    <x v="2"/>
    <s v="N/A"/>
    <s v="N/A"/>
    <e v="#VALUE!"/>
    <n v="0"/>
    <n v="1000000"/>
    <n v="30000"/>
    <n v="56250"/>
    <e v="#VALUE!"/>
    <n v="0"/>
    <n v="62330586907.323227"/>
    <n v="934958803609.84839"/>
    <e v="#VALUE!"/>
    <e v="#VALUE!"/>
    <e v="#VALUE!"/>
  </r>
  <r>
    <s v="United Kingdom"/>
    <s v="GBR"/>
    <s v="High income: OECD"/>
    <x v="1"/>
    <n v="419628"/>
    <n v="100"/>
    <n v="0"/>
    <n v="0"/>
    <s v="N/A"/>
    <s v="N/A"/>
    <e v="#VALUE!"/>
    <e v="#VALUE!"/>
    <n v="0"/>
    <n v="35339743590.988991"/>
    <n v="530096153864.83484"/>
    <e v="#VALUE!"/>
    <e v="#VALUE!"/>
    <e v="#VALUE!"/>
  </r>
  <r>
    <s v="United States"/>
    <s v="USA"/>
    <s v="High income: OECD"/>
    <x v="6"/>
    <n v="6545326"/>
    <s v="N/A"/>
    <e v="#VALUE!"/>
    <n v="0"/>
    <s v="N/A"/>
    <s v="N/A"/>
    <e v="#VALUE!"/>
    <e v="#VALUE!"/>
    <n v="0"/>
    <n v="183742824092.28073"/>
    <n v="2756142361384.2109"/>
    <e v="#VALUE!"/>
    <e v="#VALUE!"/>
    <e v="#VALUE!"/>
  </r>
  <r>
    <s v="Uruguay"/>
    <s v="URY"/>
    <s v="High income: nonOECD"/>
    <x v="5"/>
    <s v="N/A"/>
    <s v="N/A"/>
    <e v="#VALUE!"/>
    <n v="0"/>
    <n v="1100000"/>
    <n v="35000"/>
    <n v="65625"/>
    <e v="#VALUE!"/>
    <n v="0"/>
    <n v="1344798564.3950837"/>
    <n v="20171978465.926254"/>
    <e v="#VALUE!"/>
    <e v="#VALUE!"/>
    <e v="#VALUE!"/>
  </r>
  <r>
    <s v="Uzbekistan"/>
    <s v="UZB"/>
    <s v="Lower middle income"/>
    <x v="1"/>
    <s v="N/A"/>
    <s v="N/A"/>
    <e v="#VALUE!"/>
    <n v="0"/>
    <s v="N/A"/>
    <s v="N/A"/>
    <e v="#VALUE!"/>
    <e v="#VALUE!"/>
    <n v="0"/>
    <n v="10682101144.876232"/>
    <n v="160231517173.14349"/>
    <e v="#VALUE!"/>
    <e v="#VALUE!"/>
    <e v="#VALUE!"/>
  </r>
  <r>
    <s v="Vanuatu"/>
    <s v="VUT"/>
    <s v="Lower middle income"/>
    <x v="3"/>
    <s v="N/A"/>
    <s v="N/A"/>
    <e v="#VALUE!"/>
    <n v="0"/>
    <s v="N/A"/>
    <s v="N/A"/>
    <e v="#VALUE!"/>
    <e v="#VALUE!"/>
    <n v="0"/>
    <n v="7861829.9212791082"/>
    <n v="117927448.81918663"/>
    <e v="#VALUE!"/>
    <e v="#VALUE!"/>
    <e v="#VALUE!"/>
  </r>
  <r>
    <s v="Venezuela, RB"/>
    <s v="VEN"/>
    <s v="Upper middle income"/>
    <x v="5"/>
    <s v="N/A"/>
    <s v="N/A"/>
    <e v="#VALUE!"/>
    <n v="0"/>
    <n v="1100000"/>
    <n v="35000"/>
    <n v="65625"/>
    <e v="#VALUE!"/>
    <n v="0"/>
    <n v="80589397008.56813"/>
    <n v="1208840955128.522"/>
    <e v="#VALUE!"/>
    <e v="#VALUE!"/>
    <e v="#VALUE!"/>
  </r>
  <r>
    <s v="Vietnam"/>
    <s v="VNM"/>
    <s v="Lower middle income"/>
    <x v="3"/>
    <s v="N/A"/>
    <s v="N/A"/>
    <e v="#VALUE!"/>
    <n v="0"/>
    <n v="1100000"/>
    <n v="33000"/>
    <n v="61875"/>
    <e v="#VALUE!"/>
    <n v="0"/>
    <n v="13594414917.099127"/>
    <n v="203916223756.48691"/>
    <e v="#VALUE!"/>
    <e v="#VALUE!"/>
    <e v="#VALUE!"/>
  </r>
  <r>
    <s v="Virgin Islands (U.S.)"/>
    <s v="VIR"/>
    <s v="High income: nonOECD"/>
    <x v="5"/>
    <s v="N/A"/>
    <s v="N/A"/>
    <e v="#VALUE!"/>
    <n v="0"/>
    <n v="1100000"/>
    <n v="35000"/>
    <n v="65625"/>
    <e v="#VALUE!"/>
    <n v="0"/>
    <s v="N/A"/>
    <e v="#VALUE!"/>
    <e v="#VALUE!"/>
    <e v="#VALUE!"/>
    <e v="#VALUE!"/>
  </r>
  <r>
    <s v="West Bank and Gaza"/>
    <s v="WBG"/>
    <s v="Lower middle income"/>
    <x v="2"/>
    <n v="4686"/>
    <n v="100"/>
    <n v="0"/>
    <n v="0"/>
    <n v="1000000"/>
    <n v="30000"/>
    <n v="56250"/>
    <n v="0"/>
    <n v="0"/>
    <s v="N/A"/>
    <e v="#VALUE!"/>
    <e v="#VALUE!"/>
    <e v="#VALUE!"/>
    <e v="#VALUE!"/>
  </r>
  <r>
    <s v="Yemen, Rep."/>
    <s v="YEM"/>
    <s v="Lower middle income"/>
    <x v="2"/>
    <s v="N/A"/>
    <s v="N/A"/>
    <e v="#VALUE!"/>
    <n v="0"/>
    <n v="1000000"/>
    <n v="30000"/>
    <n v="56250"/>
    <e v="#VALUE!"/>
    <n v="0"/>
    <n v="6972508226.6016922"/>
    <n v="104587623399.02539"/>
    <e v="#VALUE!"/>
    <e v="#VALUE!"/>
    <e v="#VALUE!"/>
  </r>
  <r>
    <s v="Zambia"/>
    <s v="ZMB"/>
    <s v="Lower middle income"/>
    <x v="4"/>
    <s v="N/A"/>
    <s v="N/A"/>
    <e v="#VALUE!"/>
    <n v="0"/>
    <n v="1200000"/>
    <n v="35000"/>
    <n v="65625"/>
    <e v="#VALUE!"/>
    <n v="0"/>
    <n v="4492889935.3189192"/>
    <n v="67393349029.783791"/>
    <e v="#VALUE!"/>
    <e v="#VALUE!"/>
    <e v="#VALUE!"/>
  </r>
  <r>
    <s v="Zimbabwe"/>
    <s v="ZWE"/>
    <s v="Low income"/>
    <x v="4"/>
    <s v="N/A"/>
    <s v="N/A"/>
    <e v="#VALUE!"/>
    <n v="0"/>
    <n v="1200000"/>
    <n v="35000"/>
    <n v="65625"/>
    <e v="#VALUE!"/>
    <n v="0"/>
    <n v="996384461.46226156"/>
    <n v="14945766921.933924"/>
    <e v="#VALUE!"/>
    <e v="#VALUE!"/>
    <e v="#VALUE!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5">
  <r>
    <s v="AFG"/>
    <s v="Afghanistan"/>
    <s v="Low income"/>
    <x v="0"/>
    <n v="43499632"/>
    <s v="N/A"/>
    <n v="48.28744973545254"/>
    <n v="21004862.937106829"/>
    <n v="21004862.937106829"/>
    <n v="150"/>
    <n v="547.5"/>
    <n v="90"/>
    <n v="16541329562.971628"/>
    <n v="16541329562.971628"/>
    <n v="275432181.35267156"/>
    <n v="4131482720.2900734"/>
    <n v="4.0037271562908181"/>
    <n v="1.334575718763606"/>
    <n v="12.011181468872454"/>
  </r>
  <r>
    <s v="ALB"/>
    <s v="Albania"/>
    <s v="Upper middle income"/>
    <x v="1"/>
    <n v="3310564"/>
    <s v="N/A"/>
    <n v="14.792992315545245"/>
    <n v="489731.47812120727"/>
    <n v="489731.47812120727"/>
    <n v="150"/>
    <n v="547.5"/>
    <n v="90"/>
    <n v="385663539.02045071"/>
    <n v="385663539.02045071"/>
    <n v="411495291.46132761"/>
    <n v="6172429371.9199142"/>
    <n v="6.2481644711066382E-2"/>
    <n v="2.0827214903688794E-2"/>
    <n v="0.18744493413319918"/>
  </r>
  <r>
    <s v="DZA"/>
    <s v="Algeria"/>
    <s v="Upper middle income"/>
    <x v="2"/>
    <n v="48561408"/>
    <n v="94.1"/>
    <n v="5.9000000000000057"/>
    <n v="2865123.072000003"/>
    <n v="2865123.072000003"/>
    <n v="150"/>
    <n v="547.5"/>
    <n v="90"/>
    <n v="2256284419.2000022"/>
    <n v="2256284419.2000022"/>
    <n v="41290138275.752869"/>
    <n v="619352074136.29297"/>
    <n v="3.6429754794096163E-3"/>
    <n v="1.2143251598032054E-3"/>
    <n v="1.0928926438228849E-2"/>
  </r>
  <r>
    <s v="ASM"/>
    <s v="American Samoa"/>
    <s v="Upper middle income"/>
    <x v="3"/>
    <n v="60989"/>
    <s v="N/A"/>
    <n v="31.129346349193881"/>
    <n v="18985.477044909858"/>
    <n v="18985.477044909858"/>
    <n v="150"/>
    <n v="547.5"/>
    <n v="90"/>
    <n v="14951063.172866512"/>
    <n v="14951063.172866512"/>
    <s v="N/A"/>
    <e v="#VALUE!"/>
    <e v="#VALUE!"/>
    <e v="#VALUE!"/>
    <e v="#VALUE!"/>
  </r>
  <r>
    <s v="ADO"/>
    <s v="Andorra"/>
    <s v="High income: nonOECD"/>
    <x v="1"/>
    <n v="88710"/>
    <s v="N/A"/>
    <n v="14.792992315545245"/>
    <n v="13122.863483120187"/>
    <n v="13122.863483120187"/>
    <n v="150"/>
    <n v="547.5"/>
    <n v="90"/>
    <n v="10334254.992957147"/>
    <n v="10334254.992957147"/>
    <s v="N/A"/>
    <e v="#VALUE!"/>
    <e v="#VALUE!"/>
    <e v="#VALUE!"/>
    <e v="#VALUE!"/>
  </r>
  <r>
    <s v="AGO"/>
    <s v="Angola"/>
    <s v="Upper middle income"/>
    <x v="4"/>
    <n v="34783312"/>
    <n v="47.6"/>
    <n v="52.4"/>
    <n v="18226455.488000002"/>
    <n v="18226455.488000002"/>
    <n v="150"/>
    <n v="547.5"/>
    <n v="90"/>
    <n v="14353333696.800001"/>
    <n v="14353333696.800001"/>
    <n v="38084701465.664787"/>
    <n v="571270521984.9718"/>
    <n v="2.5125283284225874E-2"/>
    <n v="8.3750944280752901E-3"/>
    <n v="7.5375849852677618E-2"/>
  </r>
  <r>
    <s v="ATG"/>
    <s v="Antigua and Barbuda"/>
    <s v="High income: nonOECD"/>
    <x v="5"/>
    <n v="104982"/>
    <n v="76.771428570587304"/>
    <n v="23.228571429412696"/>
    <n v="24385.818858026036"/>
    <n v="24385.818858026036"/>
    <n v="150"/>
    <n v="547.5"/>
    <n v="90"/>
    <n v="19203832.350695502"/>
    <n v="19203832.350695502"/>
    <n v="0"/>
    <n v="0"/>
    <e v="#DIV/0!"/>
    <e v="#DIV/0!"/>
    <e v="#DIV/0!"/>
  </r>
  <r>
    <s v="ARG"/>
    <s v="Argentina"/>
    <s v="Upper middle income"/>
    <x v="5"/>
    <n v="46859381"/>
    <n v="57.040638299999998"/>
    <n v="42.959361700000002"/>
    <n v="20130490.97417108"/>
    <n v="20130490.97417108"/>
    <n v="150"/>
    <n v="547.5"/>
    <n v="90"/>
    <n v="15852761642.159725"/>
    <n v="15852761642.159725"/>
    <n v="23990886710.821796"/>
    <n v="359863300662.32697"/>
    <n v="4.4052176515312291E-2"/>
    <n v="1.4684058838437429E-2"/>
    <n v="0.13215652954593685"/>
  </r>
  <r>
    <s v="ARM"/>
    <s v="Armenia"/>
    <s v="Lower middle income"/>
    <x v="1"/>
    <n v="2969807"/>
    <n v="87.855638229999997"/>
    <n v="12.144361770000003"/>
    <n v="360664.105950784"/>
    <n v="360664.105950784"/>
    <n v="150"/>
    <n v="547.5"/>
    <n v="90"/>
    <n v="284022983.4362424"/>
    <n v="284022983.4362424"/>
    <n v="346885961.37184739"/>
    <n v="5203289420.5777111"/>
    <n v="5.4585274905716831E-2"/>
    <n v="1.8195091635238945E-2"/>
    <n v="0.1637558247171505"/>
  </r>
  <r>
    <s v="ABW"/>
    <s v="Aruba"/>
    <s v="High income: nonOECD"/>
    <x v="5"/>
    <n v="107734"/>
    <n v="93.532110090000003"/>
    <n v="6.4678899099999967"/>
    <n v="6968.1165156393963"/>
    <n v="6968.1165156393963"/>
    <n v="150"/>
    <n v="547.5"/>
    <n v="90"/>
    <n v="5487391.7560660243"/>
    <n v="5487391.7560660243"/>
    <n v="93353.484085037111"/>
    <n v="1400302.2612755566"/>
    <n v="3.9187194849399698"/>
    <n v="1.3062398283133234"/>
    <n v="11.756158454819909"/>
  </r>
  <r>
    <s v="AUS"/>
    <s v="Australia"/>
    <s v="High income: OECD"/>
    <x v="3"/>
    <n v="28335501"/>
    <s v="N/A"/>
    <s v="N/A"/>
    <e v="#VALUE!"/>
    <n v="0"/>
    <n v="150"/>
    <n v="547.5"/>
    <n v="90"/>
    <e v="#VALUE!"/>
    <n v="0"/>
    <n v="111498672067.56895"/>
    <n v="1672480081013.5344"/>
    <e v="#VALUE!"/>
    <e v="#VALUE!"/>
    <e v="#VALUE!"/>
  </r>
  <r>
    <s v="AUT"/>
    <s v="Austria"/>
    <s v="High income: OECD"/>
    <x v="1"/>
    <n v="9005424"/>
    <n v="100"/>
    <n v="0"/>
    <n v="0"/>
    <n v="0"/>
    <n v="150"/>
    <n v="547.5"/>
    <n v="90"/>
    <n v="0"/>
    <n v="0"/>
    <n v="1711085863.7734871"/>
    <n v="25666287956.602306"/>
    <n v="0"/>
    <n v="0"/>
    <n v="0"/>
  </r>
  <r>
    <s v="AZE"/>
    <s v="Azerbaijan"/>
    <s v="Upper middle income"/>
    <x v="1"/>
    <n v="10474377"/>
    <n v="79.535588840000003"/>
    <n v="20.464411159999997"/>
    <n v="2143519.5757284733"/>
    <n v="2143519.5757284733"/>
    <n v="150"/>
    <n v="547.5"/>
    <n v="90"/>
    <n v="1688021665.8861728"/>
    <n v="1688021665.8861728"/>
    <n v="24407648660.104939"/>
    <n v="366114729901.5741"/>
    <n v="4.6106357598340248E-3"/>
    <n v="1.5368785866113415E-3"/>
    <n v="1.3831907279502072E-2"/>
  </r>
  <r>
    <s v="BHS"/>
    <s v="Bahamas, The"/>
    <s v="High income: nonOECD"/>
    <x v="5"/>
    <n v="447410"/>
    <s v="N/A"/>
    <n v="26.644402312055828"/>
    <n v="119209.72038436896"/>
    <n v="119209.72038436896"/>
    <n v="150"/>
    <n v="547.5"/>
    <n v="90"/>
    <n v="93877654.802690566"/>
    <n v="93877654.802690566"/>
    <n v="2651920.615148271"/>
    <n v="39778809.227224067"/>
    <n v="2.359991579095384"/>
    <n v="0.78666385969846142"/>
    <n v="7.079974737286153"/>
  </r>
  <r>
    <s v="BHR"/>
    <s v="Bahrain"/>
    <s v="High income: nonOECD"/>
    <x v="2"/>
    <n v="1641988"/>
    <n v="98.487767129999995"/>
    <n v="1.5122328700000054"/>
    <n v="24830.682257455686"/>
    <n v="24830.682257455686"/>
    <n v="150"/>
    <n v="547.5"/>
    <n v="90"/>
    <n v="19554162.277746353"/>
    <n v="19554162.277746353"/>
    <n v="5828990079.2173672"/>
    <n v="87434851188.260513"/>
    <n v="2.2364265521128721E-4"/>
    <n v="7.4547551737095738E-5"/>
    <n v="6.709279656338617E-4"/>
  </r>
  <r>
    <s v="BGD"/>
    <s v="Bangladesh"/>
    <s v="Low income"/>
    <x v="0"/>
    <n v="185063630"/>
    <n v="63.74"/>
    <n v="36.26"/>
    <n v="67104072.237999998"/>
    <n v="67104072.237999998"/>
    <n v="150"/>
    <n v="547.5"/>
    <n v="90"/>
    <n v="52844456887.424995"/>
    <n v="52844456887.424995"/>
    <n v="5122872663.1918049"/>
    <n v="76843089947.877075"/>
    <n v="0.68769302383948339"/>
    <n v="0.22923100794649445"/>
    <n v="2.0630790715184504"/>
  </r>
  <r>
    <s v="BRB"/>
    <s v="Barbados"/>
    <s v="High income: nonOECD"/>
    <x v="5"/>
    <n v="305709"/>
    <s v="N/A"/>
    <n v="26.644402312055828"/>
    <n v="81454.335864162742"/>
    <n v="81454.335864162742"/>
    <n v="150"/>
    <n v="547.5"/>
    <n v="90"/>
    <n v="64145289.493028156"/>
    <n v="64145289.493028156"/>
    <n v="1055471.7325739102"/>
    <n v="15832075.988608653"/>
    <n v="4.0516031845211815"/>
    <n v="1.3505343948403938"/>
    <n v="12.154809553563545"/>
  </r>
  <r>
    <s v="BLR"/>
    <s v="Belarus"/>
    <s v="Upper middle income"/>
    <x v="1"/>
    <n v="8488334"/>
    <n v="87.818367346938757"/>
    <n v="12.181632653061243"/>
    <n v="1034017.6662448995"/>
    <n v="1034017.6662448995"/>
    <n v="150"/>
    <n v="547.5"/>
    <n v="90"/>
    <n v="814288912.16785836"/>
    <n v="814288912.16785836"/>
    <n v="1379214938.7502549"/>
    <n v="20688224081.253822"/>
    <n v="3.9360019930647805E-2"/>
    <n v="1.3120006643549269E-2"/>
    <n v="0.11808005979194343"/>
  </r>
  <r>
    <s v="BEL"/>
    <s v="Belgium"/>
    <s v="High income: OECD"/>
    <x v="1"/>
    <n v="11664194"/>
    <n v="86.28"/>
    <n v="13.719999999999999"/>
    <n v="1600327.4167999998"/>
    <n v="1600327.4167999998"/>
    <n v="150"/>
    <n v="547.5"/>
    <n v="90"/>
    <n v="1260257840.7299998"/>
    <n v="1260257840.7299998"/>
    <n v="306181202.30001646"/>
    <n v="4592718034.500247"/>
    <n v="0.27440348640238998"/>
    <n v="9.1467828800796666E-2"/>
    <n v="0.82321045920716995"/>
  </r>
  <r>
    <s v="BLZ"/>
    <s v="Belize"/>
    <s v="Upper middle income"/>
    <x v="5"/>
    <n v="461277"/>
    <n v="40.700000000000003"/>
    <n v="59.3"/>
    <n v="273537.261"/>
    <n v="273537.261"/>
    <n v="150"/>
    <n v="547.5"/>
    <n v="90"/>
    <n v="215410593.03749999"/>
    <n v="215410593.03749999"/>
    <n v="14107420.288951172"/>
    <n v="211611304.33426759"/>
    <n v="1.0179540914186274"/>
    <n v="0.33931803047287579"/>
    <n v="3.0538622742558816"/>
  </r>
  <r>
    <s v="BEN"/>
    <s v="Benin"/>
    <s v="Low income"/>
    <x v="4"/>
    <n v="15506762"/>
    <n v="39.340000000000003"/>
    <n v="60.66"/>
    <n v="9406401.8291999996"/>
    <n v="9406401.8291999996"/>
    <n v="150"/>
    <n v="547.5"/>
    <n v="90"/>
    <n v="7407541440.4949999"/>
    <n v="7407541440.4949999"/>
    <n v="358790876.29676551"/>
    <n v="5381863144.4514828"/>
    <n v="1.3763897820649569"/>
    <n v="0.45879659402165229"/>
    <n v="4.1291693461948711"/>
  </r>
  <r>
    <s v="BMU"/>
    <s v="Bermuda"/>
    <s v="High income: nonOECD"/>
    <x v="6"/>
    <n v="66524"/>
    <n v="90.8"/>
    <n v="9.2000000000000028"/>
    <n v="6120.2080000000014"/>
    <n v="6120.2080000000014"/>
    <n v="150"/>
    <n v="547.5"/>
    <n v="90"/>
    <n v="4819663.8000000007"/>
    <n v="4819663.8000000007"/>
    <n v="0"/>
    <n v="0"/>
    <e v="#DIV/0!"/>
    <e v="#DIV/0!"/>
    <e v="#DIV/0!"/>
  </r>
  <r>
    <s v="BTN"/>
    <s v="Bhutan"/>
    <s v="Lower middle income"/>
    <x v="0"/>
    <n v="897761"/>
    <n v="39.299999999999997"/>
    <n v="60.7"/>
    <n v="544940.92700000003"/>
    <n v="544940.92700000003"/>
    <n v="150"/>
    <n v="547.5"/>
    <n v="90"/>
    <n v="429140980.01250005"/>
    <n v="429140980.01250005"/>
    <n v="384755041.17597884"/>
    <n v="5771325617.6396828"/>
    <n v="7.4357436825407741E-2"/>
    <n v="2.4785812275135915E-2"/>
    <n v="0.22307231047622322"/>
  </r>
  <r>
    <s v="BOL"/>
    <s v="Bolivia"/>
    <s v="Lower middle income"/>
    <x v="5"/>
    <n v="13665316"/>
    <n v="76.3"/>
    <n v="23.700000000000003"/>
    <n v="3238679.892"/>
    <n v="3238679.892"/>
    <n v="150"/>
    <n v="547.5"/>
    <n v="90"/>
    <n v="2550460414.9499998"/>
    <n v="2550460414.9499998"/>
    <n v="3943593093.8863621"/>
    <n v="59153896408.295433"/>
    <n v="4.3115679098229893E-2"/>
    <n v="1.4371893032743298E-2"/>
    <n v="0.12934703729468969"/>
  </r>
  <r>
    <s v="BIH"/>
    <s v="Bosnia and Herzegovina"/>
    <s v="Upper middle income"/>
    <x v="1"/>
    <n v="3700255"/>
    <n v="77.143653639999997"/>
    <n v="22.856346360000003"/>
    <n v="845743.09900321811"/>
    <n v="845743.09900321811"/>
    <n v="150"/>
    <n v="547.5"/>
    <n v="90"/>
    <n v="666022690.46503425"/>
    <n v="666022690.46503425"/>
    <n v="595625627.44246328"/>
    <n v="8934384411.6369495"/>
    <n v="7.4546007847787046E-2"/>
    <n v="2.484866928259568E-2"/>
    <n v="0.22363802354336113"/>
  </r>
  <r>
    <s v="BWA"/>
    <s v="Botswana"/>
    <s v="Upper middle income"/>
    <x v="4"/>
    <n v="2347860"/>
    <n v="98.462566137706347"/>
    <n v="1.5374338622936534"/>
    <n v="36096.794679247767"/>
    <n v="36096.794679247767"/>
    <n v="150"/>
    <n v="547.5"/>
    <n v="90"/>
    <n v="28426225.809907615"/>
    <n v="28426225.809907615"/>
    <n v="686157389.38852191"/>
    <n v="10292360840.827829"/>
    <n v="2.7618761379941334E-3"/>
    <n v="9.2062537933137773E-4"/>
    <n v="8.2856284139824002E-3"/>
  </r>
  <r>
    <s v="BRA"/>
    <s v="Brazil"/>
    <s v="Upper middle income"/>
    <x v="5"/>
    <n v="222748294"/>
    <n v="91.778400390000002"/>
    <n v="8.2215996099999984"/>
    <n v="18313472.87078565"/>
    <n v="18313472.87078565"/>
    <n v="150"/>
    <n v="547.5"/>
    <n v="90"/>
    <n v="14421859885.7437"/>
    <n v="14421859885.7437"/>
    <n v="131651047125.59688"/>
    <n v="1974765706883.9531"/>
    <n v="7.3030738965486801E-3"/>
    <n v="2.4343579655162267E-3"/>
    <n v="2.1909221689646041E-2"/>
  </r>
  <r>
    <s v="BRN"/>
    <s v="Brunei Darussalam"/>
    <s v="High income: nonOECD"/>
    <x v="3"/>
    <n v="499424"/>
    <s v="N/A"/>
    <n v="31.129346349193881"/>
    <n v="155467.42671099806"/>
    <n v="155467.42671099806"/>
    <n v="150"/>
    <n v="547.5"/>
    <n v="90"/>
    <n v="122430598.53491098"/>
    <n v="122430598.53491098"/>
    <n v="5618749657.8090668"/>
    <n v="84281244867.136002"/>
    <n v="1.4526434526200341E-3"/>
    <n v="4.8421448420667802E-4"/>
    <n v="4.357930357860103E-3"/>
  </r>
  <r>
    <s v="BGR"/>
    <s v="Bulgaria"/>
    <s v="Upper middle income"/>
    <x v="1"/>
    <n v="6213179"/>
    <n v="62.567213879999997"/>
    <n v="37.432786120000003"/>
    <n v="2325766.006322755"/>
    <n v="2325766.006322755"/>
    <n v="150"/>
    <n v="547.5"/>
    <n v="90"/>
    <n v="1831540729.9791696"/>
    <n v="1831540729.9791696"/>
    <n v="1236205124.2998753"/>
    <n v="18543076864.498131"/>
    <n v="9.8772212581708471E-2"/>
    <n v="3.292407086056949E-2"/>
    <n v="0.2963166377451254"/>
  </r>
  <r>
    <s v="BFA"/>
    <s v="Burkina Faso"/>
    <s v="Low income"/>
    <x v="4"/>
    <n v="26564341"/>
    <n v="29.546907713498626"/>
    <n v="70.453092286501374"/>
    <n v="18715399.680030923"/>
    <n v="18715399.680030923"/>
    <n v="150"/>
    <n v="547.5"/>
    <n v="90"/>
    <n v="14738377248.024353"/>
    <n v="14738377248.024353"/>
    <n v="1409883719.9157445"/>
    <n v="21148255798.736168"/>
    <n v="0.69690746075168652"/>
    <n v="0.23230248691722885"/>
    <n v="2.0907223822550596"/>
  </r>
  <r>
    <s v="BDI"/>
    <s v="Burundi"/>
    <s v="Low income"/>
    <x v="4"/>
    <n v="16392402.999999998"/>
    <n v="0.8"/>
    <n v="99.2"/>
    <n v="16261263.775999999"/>
    <n v="16261263.775999999"/>
    <n v="150"/>
    <n v="547.5"/>
    <n v="90"/>
    <n v="12805745223.599998"/>
    <n v="12805745223.599998"/>
    <n v="551752484.64932442"/>
    <n v="8276287269.7398663"/>
    <n v="1.5472813843015019"/>
    <n v="0.51576046143383403"/>
    <n v="4.6418441529045058"/>
  </r>
  <r>
    <s v="CPV"/>
    <s v="Cabo Verde"/>
    <s v="Lower middle income"/>
    <x v="4"/>
    <n v="576734"/>
    <n v="75.7"/>
    <n v="24.299999999999997"/>
    <n v="140146.36199999999"/>
    <n v="140146.36199999999"/>
    <n v="150"/>
    <n v="547.5"/>
    <n v="90"/>
    <n v="110365260.07499999"/>
    <n v="110365260.07499999"/>
    <n v="9544520.9551698435"/>
    <n v="143167814.32754764"/>
    <n v="0.77088038672225545"/>
    <n v="0.25696012890741848"/>
    <n v="2.3126411601667662"/>
  </r>
  <r>
    <s v="KHM"/>
    <s v="Cambodia"/>
    <s v="Low income"/>
    <x v="3"/>
    <n v="19143612"/>
    <n v="61.9"/>
    <n v="38.1"/>
    <n v="7293716.1720000003"/>
    <n v="7293716.1720000003"/>
    <n v="150"/>
    <n v="547.5"/>
    <n v="90"/>
    <n v="5743801485.4499998"/>
    <n v="5743801485.4499998"/>
    <n v="433167180.30280077"/>
    <n v="6497507704.5420113"/>
    <n v="0.88400071945045311"/>
    <n v="0.29466690648348437"/>
    <n v="2.6520021583513591"/>
  </r>
  <r>
    <s v="CMR"/>
    <s v="Cameroon"/>
    <s v="Lower middle income"/>
    <x v="4"/>
    <n v="33074214.999999996"/>
    <n v="45"/>
    <n v="55"/>
    <n v="18190818.25"/>
    <n v="18190818.25"/>
    <n v="150"/>
    <n v="547.5"/>
    <n v="90"/>
    <n v="14325269371.875"/>
    <n v="14325269371.875"/>
    <n v="2416929494.6420951"/>
    <n v="36253942419.631424"/>
    <n v="0.39513687107634121"/>
    <n v="0.1317122903587804"/>
    <n v="1.1854106132290236"/>
  </r>
  <r>
    <s v="CAN"/>
    <s v="Canada"/>
    <s v="High income: OECD"/>
    <x v="6"/>
    <n v="40616997"/>
    <n v="89.325535959999996"/>
    <n v="10.674464040000004"/>
    <n v="4335646.7388928803"/>
    <n v="4335646.7388928803"/>
    <n v="150"/>
    <n v="547.5"/>
    <n v="90"/>
    <n v="3414321806.8781433"/>
    <n v="3414321806.8781433"/>
    <n v="66550602359.385544"/>
    <n v="998259035390.7832"/>
    <n v="3.420276387021688E-3"/>
    <n v="1.1400921290072293E-3"/>
    <n v="1.0260829161065063E-2"/>
  </r>
  <r>
    <s v="CYM"/>
    <s v="Cayman Islands"/>
    <s v="High income: nonOECD"/>
    <x v="5"/>
    <n v="66552"/>
    <n v="99.668683533999996"/>
    <n v="0.33131646600000408"/>
    <n v="220.4977344523227"/>
    <n v="220.4977344523227"/>
    <n v="150"/>
    <n v="547.5"/>
    <n v="90"/>
    <n v="173641.96588120412"/>
    <n v="173641.96588120412"/>
    <s v="N/A"/>
    <e v="#VALUE!"/>
    <e v="#VALUE!"/>
    <e v="#VALUE!"/>
    <e v="#VALUE!"/>
  </r>
  <r>
    <s v="CAF"/>
    <s v="Central African Republic"/>
    <s v="Low income"/>
    <x v="4"/>
    <n v="6318381"/>
    <s v="N/A"/>
    <n v="59.651025134275415"/>
    <n v="3768979.0383892823"/>
    <n v="3768979.0383892823"/>
    <n v="150"/>
    <n v="547.5"/>
    <n v="90"/>
    <n v="2968070992.7315598"/>
    <n v="2968070992.7315598"/>
    <n v="165997754.82625589"/>
    <n v="2489966322.3938384"/>
    <n v="1.192012504762745"/>
    <n v="0.39733750158758169"/>
    <n v="3.5760375142882346"/>
  </r>
  <r>
    <s v="TCD"/>
    <s v="Chad"/>
    <s v="Low income"/>
    <x v="4"/>
    <n v="20877527"/>
    <n v="0.7"/>
    <n v="99.3"/>
    <n v="20731384.311000001"/>
    <n v="20731384.311000001"/>
    <n v="150"/>
    <n v="547.5"/>
    <n v="90"/>
    <n v="16325965144.9125"/>
    <n v="16325965144.9125"/>
    <n v="3554600897.019742"/>
    <n v="53319013455.296127"/>
    <n v="0.30619405887171114"/>
    <n v="0.10206468629057039"/>
    <n v="0.91858217661513342"/>
  </r>
  <r>
    <s v="CHI"/>
    <s v="Channel Islands"/>
    <s v="High income: nonOECD"/>
    <x v="1"/>
    <n v="173587"/>
    <s v="N/A"/>
    <n v="14.792992315545245"/>
    <n v="25678.711570785523"/>
    <n v="25678.711570785523"/>
    <n v="150"/>
    <n v="547.5"/>
    <n v="90"/>
    <n v="20221985.3619936"/>
    <n v="20221985.3619936"/>
    <s v="N/A"/>
    <e v="#VALUE!"/>
    <e v="#VALUE!"/>
    <e v="#VALUE!"/>
    <e v="#VALUE!"/>
  </r>
  <r>
    <s v="CHL"/>
    <s v="Chile"/>
    <s v="High income: OECD"/>
    <x v="5"/>
    <n v="19814578"/>
    <n v="94.234921388452392"/>
    <n v="5.765078611547608"/>
    <n v="1142325.9982464178"/>
    <n v="1142325.9982464178"/>
    <n v="150"/>
    <n v="547.5"/>
    <n v="90"/>
    <n v="899581723.61905408"/>
    <n v="899581723.61905408"/>
    <n v="42609019124.162964"/>
    <n v="639135286862.44446"/>
    <n v="1.407498133979048E-3"/>
    <n v="4.6916604465968261E-4"/>
    <n v="4.2224944019371444E-3"/>
  </r>
  <r>
    <s v="CHN"/>
    <s v="China"/>
    <s v="Upper middle income"/>
    <x v="3"/>
    <n v="1453297304"/>
    <s v="N/A"/>
    <n v="31.129346349193881"/>
    <n v="452401951.24565709"/>
    <n v="452401951.24565709"/>
    <n v="150"/>
    <n v="547.5"/>
    <n v="90"/>
    <n v="356266536605.95496"/>
    <n v="356266536605.95496"/>
    <n v="412412144329.84637"/>
    <n v="6186182164947.6953"/>
    <n v="5.7590696023250267E-2"/>
    <n v="1.9196898674416756E-2"/>
    <n v="0.17277208806975081"/>
  </r>
  <r>
    <s v="COL"/>
    <s v="Colombia"/>
    <s v="Upper middle income"/>
    <x v="5"/>
    <n v="57219408"/>
    <n v="90.5"/>
    <n v="9.5"/>
    <n v="5435843.7599999998"/>
    <n v="5435843.7599999998"/>
    <n v="150"/>
    <n v="547.5"/>
    <n v="90"/>
    <n v="4280726961"/>
    <n v="4280726961"/>
    <n v="27613795592.874363"/>
    <n v="414206933893.11542"/>
    <n v="1.0334754468655578E-2"/>
    <n v="3.4449181562185259E-3"/>
    <n v="3.1004263405966733E-2"/>
  </r>
  <r>
    <s v="COM"/>
    <s v="Comoros"/>
    <s v="Low income"/>
    <x v="4"/>
    <n v="1057197"/>
    <n v="6.3"/>
    <n v="93.7"/>
    <n v="990593.58900000004"/>
    <n v="990593.58900000004"/>
    <n v="150"/>
    <n v="547.5"/>
    <n v="90"/>
    <n v="780092451.33749998"/>
    <n v="780092451.33749998"/>
    <n v="15685686.317566991"/>
    <n v="235285294.76350486"/>
    <n v="3.3155172409801628"/>
    <n v="1.1051724136600543"/>
    <n v="9.9465517229404874"/>
  </r>
  <r>
    <s v="ZAR"/>
    <s v="Congo, Dem. Rep."/>
    <s v="Low income"/>
    <x v="4"/>
    <n v="103743184"/>
    <n v="20.8"/>
    <n v="79.2"/>
    <n v="82164601.728"/>
    <n v="82164601.728"/>
    <n v="150"/>
    <n v="547.5"/>
    <n v="90"/>
    <n v="64704623860.800003"/>
    <n v="64704623860.800003"/>
    <n v="7681552331.5239582"/>
    <n v="115223284972.85937"/>
    <n v="0.56155857625514716"/>
    <n v="0.18718619208504905"/>
    <n v="1.6846757287654417"/>
  </r>
  <r>
    <s v="COG"/>
    <s v="Congo, Rep."/>
    <s v="Lower middle income"/>
    <x v="4"/>
    <n v="6753771"/>
    <n v="78.849999999999994"/>
    <n v="21.150000000000006"/>
    <n v="1428422.5665000004"/>
    <n v="1428422.5665000004"/>
    <n v="150"/>
    <n v="547.5"/>
    <n v="90"/>
    <n v="1124882771.1187503"/>
    <n v="1124882771.1187503"/>
    <n v="7999753757.4398327"/>
    <n v="119996306361.59749"/>
    <n v="9.3743116369684153E-3"/>
    <n v="3.1247705456561381E-3"/>
    <n v="2.8122934910905242E-2"/>
  </r>
  <r>
    <s v="CRI"/>
    <s v="Costa Rica"/>
    <s v="Upper middle income"/>
    <x v="5"/>
    <n v="5759573"/>
    <n v="73.599999999999994"/>
    <n v="26.400000000000006"/>
    <n v="1520527.2720000003"/>
    <n v="1520527.2720000003"/>
    <n v="150"/>
    <n v="547.5"/>
    <n v="90"/>
    <n v="1197415226.7000003"/>
    <n v="1197415226.7000003"/>
    <n v="447691904.68022686"/>
    <n v="6715378570.2034025"/>
    <n v="0.1783094153489744"/>
    <n v="5.9436471782991468E-2"/>
    <n v="0.53492824604692313"/>
  </r>
  <r>
    <s v="CIV"/>
    <s v="Cote d'Ivoire"/>
    <s v="Lower middle income"/>
    <x v="4"/>
    <n v="29227188"/>
    <n v="23"/>
    <n v="77"/>
    <n v="22504934.760000002"/>
    <n v="22504934.760000002"/>
    <n v="150"/>
    <n v="547.5"/>
    <n v="90"/>
    <n v="17722636123.5"/>
    <n v="17722636123.5"/>
    <n v="1791544935.1129889"/>
    <n v="26873174026.694836"/>
    <n v="0.65949173349954782"/>
    <n v="0.21983057783318261"/>
    <n v="1.9784752004986434"/>
  </r>
  <r>
    <s v="HRV"/>
    <s v="Croatia"/>
    <s v="High income: nonOECD"/>
    <x v="1"/>
    <n v="4015138"/>
    <n v="90.9"/>
    <n v="9.0999999999999943"/>
    <n v="365377.55799999979"/>
    <n v="365377.55799999979"/>
    <n v="150"/>
    <n v="547.5"/>
    <n v="90"/>
    <n v="287734826.92499983"/>
    <n v="287734826.92499983"/>
    <n v="918544973.75403845"/>
    <n v="13778174606.310577"/>
    <n v="2.0883377889057499E-2"/>
    <n v="6.9611259630191664E-3"/>
    <n v="6.2650133667172495E-2"/>
  </r>
  <r>
    <s v="CUB"/>
    <s v="Cuba"/>
    <s v="Upper middle income"/>
    <x v="5"/>
    <n v="10847333"/>
    <n v="17.3"/>
    <n v="82.7"/>
    <n v="8970744.3910000008"/>
    <n v="8970744.3910000008"/>
    <n v="150"/>
    <n v="547.5"/>
    <n v="90"/>
    <n v="7064461207.9125004"/>
    <n v="7064461207.9125004"/>
    <n v="3082852547.1150317"/>
    <n v="46242788206.725479"/>
    <n v="0.15276892855878998"/>
    <n v="5.0922976186263319E-2"/>
    <n v="0.45830678567636995"/>
  </r>
  <r>
    <s v="CUW"/>
    <s v="Curacao"/>
    <s v="High income: nonOECD"/>
    <x v="5"/>
    <n v="178776"/>
    <s v="N/A"/>
    <n v="26.644402312055828"/>
    <n v="47633.796677400926"/>
    <n v="47633.796677400926"/>
    <n v="150"/>
    <n v="547.5"/>
    <n v="90"/>
    <n v="37511614.883453228"/>
    <n v="37511614.883453228"/>
    <s v="N/A"/>
    <e v="#VALUE!"/>
    <e v="#VALUE!"/>
    <e v="#VALUE!"/>
    <e v="#VALUE!"/>
  </r>
  <r>
    <s v="CYP"/>
    <s v="Cyprus"/>
    <s v="High income: nonOECD"/>
    <x v="1"/>
    <n v="1306312"/>
    <n v="92.151537489999996"/>
    <n v="7.8484625100000045"/>
    <n v="102525.40758363125"/>
    <n v="102525.40758363125"/>
    <n v="150"/>
    <n v="547.5"/>
    <n v="90"/>
    <n v="80738758.472109616"/>
    <n v="80738758.472109616"/>
    <n v="2097439.0563930012"/>
    <n v="31461585.845895018"/>
    <n v="2.5662647416307554"/>
    <n v="0.85542158054358519"/>
    <n v="7.6987942248922669"/>
  </r>
  <r>
    <s v="CZE"/>
    <s v="Czech Republic"/>
    <s v="High income: OECD"/>
    <x v="1"/>
    <n v="11053125"/>
    <n v="100"/>
    <n v="0"/>
    <n v="0"/>
    <n v="0"/>
    <n v="150"/>
    <n v="547.5"/>
    <n v="90"/>
    <n v="0"/>
    <n v="0"/>
    <n v="1366868039.2637777"/>
    <n v="20503020588.956665"/>
    <n v="0"/>
    <n v="0"/>
    <n v="0"/>
  </r>
  <r>
    <s v="DNK"/>
    <s v="Denmark"/>
    <s v="High income: OECD"/>
    <x v="1"/>
    <n v="6009458"/>
    <n v="93"/>
    <n v="7"/>
    <n v="420662.06000000006"/>
    <n v="420662.06000000006"/>
    <n v="150"/>
    <n v="547.5"/>
    <n v="90"/>
    <n v="331271372.25000006"/>
    <n v="331271372.25000006"/>
    <n v="6826937316.8512735"/>
    <n v="102404059752.7691"/>
    <n v="3.2349437419744694E-3"/>
    <n v="1.0783145806581565E-3"/>
    <n v="9.704831225923409E-3"/>
  </r>
  <r>
    <s v="DJI"/>
    <s v="Djibouti"/>
    <s v="Lower middle income"/>
    <x v="2"/>
    <n v="1075146"/>
    <n v="28.9"/>
    <n v="71.099999999999994"/>
    <n v="764428.80599999998"/>
    <n v="764428.80599999998"/>
    <n v="150"/>
    <n v="547.5"/>
    <n v="90"/>
    <n v="601987684.72500002"/>
    <n v="601987684.72500002"/>
    <s v="N/A"/>
    <e v="#VALUE!"/>
    <e v="#VALUE!"/>
    <e v="#VALUE!"/>
    <e v="#VALUE!"/>
  </r>
  <r>
    <s v="DMA"/>
    <s v="Dominica"/>
    <s v="Upper middle income"/>
    <x v="5"/>
    <n v="76952"/>
    <s v="N/A"/>
    <n v="26.644402312055828"/>
    <n v="20503.4004671732"/>
    <n v="20503.4004671732"/>
    <n v="150"/>
    <n v="547.5"/>
    <n v="90"/>
    <n v="16146427.867898894"/>
    <n v="16146427.867898894"/>
    <n v="491062.11491866165"/>
    <n v="7365931.7237799251"/>
    <n v="2.1920414787137266"/>
    <n v="0.73068049290457537"/>
    <n v="6.5761244361411793"/>
  </r>
  <r>
    <s v="DOM"/>
    <s v="Dominican Republic"/>
    <s v="Upper middle income"/>
    <x v="5"/>
    <n v="12218615"/>
    <n v="78.936845077998925"/>
    <n v="21.063154922001075"/>
    <n v="2573625.8067728616"/>
    <n v="2573625.8067728616"/>
    <n v="150"/>
    <n v="547.5"/>
    <n v="90"/>
    <n v="2026730322.8336284"/>
    <n v="2026730322.8336284"/>
    <n v="129924258.050329"/>
    <n v="1948863870.754935"/>
    <n v="1.0399547927626829"/>
    <n v="0.34665159758756098"/>
    <n v="3.1198643782880486"/>
  </r>
  <r>
    <s v="ECU"/>
    <s v="Ecuador"/>
    <s v="Upper middle income"/>
    <x v="5"/>
    <n v="19648546"/>
    <n v="75.45"/>
    <n v="24.549999999999997"/>
    <n v="4823718.0429999996"/>
    <n v="4823718.0429999996"/>
    <n v="150"/>
    <n v="547.5"/>
    <n v="90"/>
    <n v="3798677958.8624997"/>
    <n v="3798677958.8624997"/>
    <n v="12579420182.430964"/>
    <n v="188691302736.46445"/>
    <n v="2.0131706675256357E-2"/>
    <n v="6.7105688917521202E-3"/>
    <n v="6.0395120025769078E-2"/>
  </r>
  <r>
    <s v="EGY"/>
    <s v="Egypt, Arab Rep."/>
    <s v="Lower middle income"/>
    <x v="2"/>
    <n v="102552797"/>
    <n v="79.11"/>
    <n v="20.89"/>
    <n v="21423279.293299999"/>
    <n v="21423279.293299999"/>
    <n v="150"/>
    <n v="547.5"/>
    <n v="90"/>
    <n v="16870832443.473749"/>
    <n v="16870832443.473749"/>
    <n v="26385352958.727764"/>
    <n v="395780294380.91644"/>
    <n v="4.2626762077337066E-2"/>
    <n v="1.4208920692445689E-2"/>
    <n v="0.1278802862320112"/>
  </r>
  <r>
    <s v="SLV"/>
    <s v="El Salvador"/>
    <s v="Lower middle income"/>
    <x v="5"/>
    <n v="6874758"/>
    <n v="86.676551500000002"/>
    <n v="13.323448499999998"/>
    <n v="915954.84162962995"/>
    <n v="915954.84162962995"/>
    <n v="150"/>
    <n v="547.5"/>
    <n v="90"/>
    <n v="721314437.78333354"/>
    <n v="721314437.78333354"/>
    <n v="390192552.90387428"/>
    <n v="5852888293.5581141"/>
    <n v="0.12324076620037948"/>
    <n v="4.1080255400126491E-2"/>
    <n v="0.36972229860113837"/>
  </r>
  <r>
    <s v="GNQ"/>
    <s v="Equatorial Guinea"/>
    <s v="High income: nonOECD"/>
    <x v="4"/>
    <n v="1138788"/>
    <s v="N/A"/>
    <n v="59.651025134275415"/>
    <n v="679298.71610611235"/>
    <n v="679298.71610611235"/>
    <n v="150"/>
    <n v="547.5"/>
    <n v="90"/>
    <n v="534947738.93356347"/>
    <n v="534947738.93356347"/>
    <n v="6226958917.0209513"/>
    <n v="93404383755.31427"/>
    <n v="5.7272230427099996E-3"/>
    <n v="1.9090743475699999E-3"/>
    <n v="1.718166912813E-2"/>
  </r>
  <r>
    <s v="ERI"/>
    <s v="Eritrea"/>
    <s v="Low income"/>
    <x v="4"/>
    <n v="9782455"/>
    <n v="4.4000000000000004"/>
    <n v="95.6"/>
    <n v="9352026.9800000004"/>
    <n v="9352026.9800000004"/>
    <n v="150"/>
    <n v="547.5"/>
    <n v="90"/>
    <n v="7364721246.75"/>
    <n v="7364721246.75"/>
    <n v="76822965.242555067"/>
    <n v="1152344478.6383259"/>
    <n v="6.3910760916323932"/>
    <n v="2.1303586972107977"/>
    <n v="19.173228274897181"/>
  </r>
  <r>
    <s v="EST"/>
    <s v="Estonia"/>
    <s v="High income: OECD"/>
    <x v="1"/>
    <n v="1212150"/>
    <n v="100"/>
    <n v="0"/>
    <n v="0"/>
    <n v="0"/>
    <n v="150"/>
    <n v="547.5"/>
    <n v="90"/>
    <n v="0"/>
    <n v="0"/>
    <n v="524357312.05145437"/>
    <n v="7865359680.7718153"/>
    <n v="0"/>
    <n v="0"/>
    <n v="0"/>
  </r>
  <r>
    <s v="ETH"/>
    <s v="Ethiopia"/>
    <s v="Low income"/>
    <x v="4"/>
    <n v="137669707"/>
    <n v="7.6"/>
    <n v="92.4"/>
    <n v="127206809.26800001"/>
    <n v="127206809.26800001"/>
    <n v="150"/>
    <n v="547.5"/>
    <n v="90"/>
    <n v="100175362298.55"/>
    <n v="100175362298.55"/>
    <n v="5463318403.1045046"/>
    <n v="81949776046.567566"/>
    <n v="1.2223994638084896"/>
    <n v="0.40746648793616325"/>
    <n v="3.6671983914254693"/>
  </r>
  <r>
    <s v="FRO"/>
    <s v="Faeroe Islands"/>
    <s v="High income: nonOECD"/>
    <x v="1"/>
    <n v="51875"/>
    <s v="N/A"/>
    <n v="14.792992315545245"/>
    <n v="7673.8647636890955"/>
    <n v="7673.8647636890955"/>
    <n v="150"/>
    <n v="547.5"/>
    <n v="90"/>
    <n v="6043168.5014051627"/>
    <n v="6043168.5014051627"/>
    <s v="N/A"/>
    <e v="#VALUE!"/>
    <e v="#VALUE!"/>
    <e v="#VALUE!"/>
    <e v="#VALUE!"/>
  </r>
  <r>
    <s v="FJI"/>
    <s v="Fiji"/>
    <s v="Upper middle income"/>
    <x v="3"/>
    <n v="939469"/>
    <s v="N/A"/>
    <n v="31.129346349193881"/>
    <n v="292450.55885330826"/>
    <n v="292450.55885330826"/>
    <n v="150"/>
    <n v="547.5"/>
    <n v="90"/>
    <n v="230304815.09698024"/>
    <n v="230304815.09698024"/>
    <n v="87317583.851148248"/>
    <n v="1309763757.7672238"/>
    <n v="0.17583691236775761"/>
    <n v="5.8612304122585869E-2"/>
    <n v="0.5275107371032729"/>
  </r>
  <r>
    <s v="FIN"/>
    <s v="Finland"/>
    <s v="High income: OECD"/>
    <x v="1"/>
    <n v="5649744"/>
    <n v="100"/>
    <n v="0"/>
    <n v="0"/>
    <n v="0"/>
    <n v="150"/>
    <n v="547.5"/>
    <n v="90"/>
    <n v="0"/>
    <n v="0"/>
    <n v="3328745232.5822215"/>
    <n v="49931178488.733322"/>
    <n v="0"/>
    <n v="0"/>
    <n v="0"/>
  </r>
  <r>
    <s v="FRA"/>
    <s v="France"/>
    <s v="High income: OECD"/>
    <x v="1"/>
    <n v="69286370"/>
    <n v="83.6"/>
    <n v="16.400000000000006"/>
    <n v="11362964.680000003"/>
    <n v="11362964.680000003"/>
    <n v="150"/>
    <n v="547.5"/>
    <n v="90"/>
    <n v="8948334685.5000019"/>
    <n v="8948334685.5000019"/>
    <n v="4406730484.3344297"/>
    <n v="66100957265.016449"/>
    <n v="0.13537375335766669"/>
    <n v="4.5124584452555558E-2"/>
    <n v="0.40612126007300003"/>
  </r>
  <r>
    <s v="PYF"/>
    <s v="French Polynesia"/>
    <s v="High income: nonOECD"/>
    <x v="3"/>
    <n v="318041"/>
    <s v="N/A"/>
    <n v="31.129346349193881"/>
    <n v="99004.084422439715"/>
    <n v="99004.084422439715"/>
    <n v="150"/>
    <n v="547.5"/>
    <n v="90"/>
    <n v="77965716.482671276"/>
    <n v="77965716.482671276"/>
    <s v="N/A"/>
    <e v="#VALUE!"/>
    <e v="#VALUE!"/>
    <e v="#VALUE!"/>
    <e v="#VALUE!"/>
  </r>
  <r>
    <s v="GAB"/>
    <s v="Gabon"/>
    <s v="Upper middle income"/>
    <x v="4"/>
    <n v="2382369"/>
    <n v="12.8"/>
    <n v="87.2"/>
    <n v="2077425.7679999999"/>
    <n v="2077425.7679999999"/>
    <n v="150"/>
    <n v="547.5"/>
    <n v="90"/>
    <n v="1635972792.3"/>
    <n v="1635972792.3"/>
    <n v="6654882999.5966587"/>
    <n v="99823244993.949875"/>
    <n v="1.6388695763187758E-2"/>
    <n v="5.4628985877292532E-3"/>
    <n v="4.9166087289563273E-2"/>
  </r>
  <r>
    <s v="GMB"/>
    <s v="Gambia, The"/>
    <s v="Low income"/>
    <x v="4"/>
    <n v="3056357"/>
    <n v="14.27"/>
    <n v="85.73"/>
    <n v="2620214.8561"/>
    <n v="2620214.8561"/>
    <n v="150"/>
    <n v="547.5"/>
    <n v="90"/>
    <n v="2063419199.17875"/>
    <n v="2063419199.17875"/>
    <n v="45972784.152787477"/>
    <n v="689591762.29181218"/>
    <n v="2.992232958701702"/>
    <n v="0.99741098623390068"/>
    <n v="8.9766988761051056"/>
  </r>
  <r>
    <s v="GEO"/>
    <s v="Georgia"/>
    <s v="Lower middle income"/>
    <x v="1"/>
    <n v="3953077"/>
    <n v="41.213819999999998"/>
    <n v="58.786180000000002"/>
    <n v="2323862.9607585999"/>
    <n v="2323862.9607585999"/>
    <n v="150"/>
    <n v="547.5"/>
    <n v="90"/>
    <n v="1830042081.5973973"/>
    <n v="1830042081.5973973"/>
    <n v="123856542.27513833"/>
    <n v="1857848134.127075"/>
    <n v="0.98503319403835854"/>
    <n v="0.3283443980127862"/>
    <n v="2.9550995821150758"/>
  </r>
  <r>
    <s v="DEU"/>
    <s v="Germany"/>
    <s v="High income: OECD"/>
    <x v="1"/>
    <n v="79551501"/>
    <n v="94.311159017444027"/>
    <n v="5.6888409825559734"/>
    <n v="4525558.391126425"/>
    <n v="4525558.391126425"/>
    <n v="150"/>
    <n v="547.5"/>
    <n v="90"/>
    <n v="3563877233.0120597"/>
    <n v="3563877233.0120597"/>
    <n v="6763891296.0023947"/>
    <n v="101458369440.03592"/>
    <n v="3.5126498214801176E-2"/>
    <n v="1.1708832738267057E-2"/>
    <n v="0.10537949464440352"/>
  </r>
  <r>
    <s v="GHA"/>
    <s v="Ghana"/>
    <s v="Lower middle income"/>
    <x v="4"/>
    <n v="35264291"/>
    <n v="77.040000000000006"/>
    <n v="22.959999999999994"/>
    <n v="8096681.2135999976"/>
    <n v="8096681.2135999976"/>
    <n v="150"/>
    <n v="547.5"/>
    <n v="90"/>
    <n v="6376136455.7099981"/>
    <n v="6376136455.7099981"/>
    <n v="4194607406.4218354"/>
    <n v="62919111096.32753"/>
    <n v="0.10133862898902526"/>
    <n v="3.3779542996341755E-2"/>
    <n v="0.30401588696707577"/>
  </r>
  <r>
    <s v="GRC"/>
    <s v="Greece"/>
    <s v="High income: OECD"/>
    <x v="1"/>
    <n v="10975530"/>
    <n v="94.55573837"/>
    <n v="5.4442616299999997"/>
    <n v="597536.56847913901"/>
    <n v="597536.56847913901"/>
    <n v="150"/>
    <n v="547.5"/>
    <n v="90"/>
    <n v="470560047.67732197"/>
    <n v="470560047.67732197"/>
    <n v="629296452.81922984"/>
    <n v="9439446792.2884483"/>
    <n v="4.9850384035401922E-2"/>
    <n v="1.6616794678467307E-2"/>
    <n v="0.14955115210620579"/>
  </r>
  <r>
    <s v="GRL"/>
    <s v="Greenland"/>
    <s v="High income: nonOECD"/>
    <x v="1"/>
    <n v="54649"/>
    <s v="N/A"/>
    <n v="14.792992315545245"/>
    <n v="8084.2223705223205"/>
    <n v="8084.2223705223205"/>
    <n v="150"/>
    <n v="547.5"/>
    <n v="90"/>
    <n v="6366325.1167863272"/>
    <n v="6366325.1167863272"/>
    <s v="N/A"/>
    <e v="#VALUE!"/>
    <e v="#VALUE!"/>
    <e v="#VALUE!"/>
    <e v="#VALUE!"/>
  </r>
  <r>
    <s v="GRD"/>
    <s v="Grenada"/>
    <s v="Upper middle income"/>
    <x v="5"/>
    <n v="107433"/>
    <n v="67.314869999999999"/>
    <n v="32.685130000000001"/>
    <n v="35114.615712899998"/>
    <n v="35114.615712899998"/>
    <n v="150"/>
    <n v="547.5"/>
    <n v="90"/>
    <n v="27652759.873908747"/>
    <n v="27652759.873908747"/>
    <n v="0"/>
    <n v="0"/>
    <e v="#DIV/0!"/>
    <e v="#DIV/0!"/>
    <e v="#DIV/0!"/>
  </r>
  <r>
    <s v="GUM"/>
    <s v="Guam"/>
    <s v="High income: nonOECD"/>
    <x v="3"/>
    <n v="200008"/>
    <s v="N/A"/>
    <n v="31.129346349193881"/>
    <n v="62261.183046095699"/>
    <n v="62261.183046095699"/>
    <n v="150"/>
    <n v="547.5"/>
    <n v="90"/>
    <n v="49030681.648800366"/>
    <n v="49030681.648800366"/>
    <s v="N/A"/>
    <e v="#VALUE!"/>
    <e v="#VALUE!"/>
    <e v="#VALUE!"/>
    <e v="#VALUE!"/>
  </r>
  <r>
    <s v="GTM"/>
    <s v="Guatemala"/>
    <s v="Lower middle income"/>
    <x v="5"/>
    <n v="22566243"/>
    <n v="72.143859131837843"/>
    <n v="27.856140868162157"/>
    <n v="6286084.4387317812"/>
    <n v="6286084.4387317812"/>
    <n v="150"/>
    <n v="547.5"/>
    <n v="90"/>
    <n v="4950291495.5012779"/>
    <n v="4950291495.5012779"/>
    <n v="1835017152.9300125"/>
    <n v="27525257293.950188"/>
    <n v="0.17984542133923337"/>
    <n v="5.9948473779744459E-2"/>
    <n v="0.53953626401770005"/>
  </r>
  <r>
    <s v="GIN"/>
    <s v="Guinea"/>
    <s v="Low income"/>
    <x v="4"/>
    <n v="17322136"/>
    <n v="9.5833333332500281"/>
    <n v="90.416666666749975"/>
    <n v="15662097.966681099"/>
    <n v="15662097.966681099"/>
    <n v="150"/>
    <n v="547.5"/>
    <n v="90"/>
    <n v="12333902148.761366"/>
    <n v="12333902148.761366"/>
    <n v="1333953226.6564479"/>
    <n v="20009298399.846718"/>
    <n v="0.61640852679051705"/>
    <n v="0.20546950893017235"/>
    <n v="1.8492255803715512"/>
  </r>
  <r>
    <s v="GNB"/>
    <s v="Guinea-Bissau"/>
    <s v="Low income"/>
    <x v="4"/>
    <n v="2472642"/>
    <s v="N/A"/>
    <n v="59.651025134275415"/>
    <n v="1474956.3009006502"/>
    <n v="1474956.3009006502"/>
    <n v="150"/>
    <n v="547.5"/>
    <n v="90"/>
    <n v="1161528086.9592621"/>
    <n v="1161528086.9592621"/>
    <n v="142038641.37615088"/>
    <n v="2130579620.6422632"/>
    <n v="0.54516999773475705"/>
    <n v="0.18172333257825235"/>
    <n v="1.6355099932042712"/>
  </r>
  <r>
    <s v="GUY"/>
    <s v="Guyana"/>
    <s v="Lower middle income"/>
    <x v="5"/>
    <n v="852670"/>
    <n v="44.367043324818013"/>
    <n v="55.632956675181987"/>
    <n v="474365.53168227425"/>
    <n v="474365.53168227425"/>
    <n v="150"/>
    <n v="547.5"/>
    <n v="90"/>
    <n v="373562856.19979095"/>
    <n v="373562856.19979095"/>
    <n v="405082963.00590253"/>
    <n v="6076244445.0885382"/>
    <n v="6.1479234348733924E-2"/>
    <n v="2.0493078116244644E-2"/>
    <n v="0.18443770304620177"/>
  </r>
  <r>
    <s v="HTI"/>
    <s v="Haiti"/>
    <s v="Low income"/>
    <x v="5"/>
    <n v="12536811"/>
    <n v="25.966666666279405"/>
    <n v="74.033333333720591"/>
    <n v="9281419.0770485513"/>
    <n v="9281419.0770485513"/>
    <n v="150"/>
    <n v="547.5"/>
    <n v="90"/>
    <n v="7309117523.1757345"/>
    <n v="7309117523.1757345"/>
    <n v="161012362.10944861"/>
    <n v="2415185431.6417294"/>
    <n v="3.0263173284410465"/>
    <n v="1.0087724428136822"/>
    <n v="9.0789519853231404"/>
  </r>
  <r>
    <s v="HND"/>
    <s v="Honduras"/>
    <s v="Lower middle income"/>
    <x v="5"/>
    <n v="10811004"/>
    <n v="100"/>
    <n v="0"/>
    <n v="0"/>
    <n v="0"/>
    <n v="150"/>
    <n v="547.5"/>
    <n v="90"/>
    <n v="0"/>
    <n v="0"/>
    <n v="717924436.29793561"/>
    <n v="10768866544.469034"/>
    <n v="0"/>
    <n v="0"/>
    <n v="0"/>
  </r>
  <r>
    <s v="HKG"/>
    <s v="Hong Kong SAR, China"/>
    <s v="High income: nonOECD"/>
    <x v="3"/>
    <n v="7885155"/>
    <s v="N/A"/>
    <n v="31.129346349193881"/>
    <n v="2454597.210120779"/>
    <n v="2454597.210120779"/>
    <n v="150"/>
    <n v="547.5"/>
    <n v="90"/>
    <n v="1932995302.9701135"/>
    <n v="1932995302.9701135"/>
    <n v="3134453.5797919827"/>
    <n v="47016803.696879737"/>
    <n v="41.112860742985738"/>
    <n v="13.704286914328579"/>
    <n v="123.33858222895719"/>
  </r>
  <r>
    <s v="HUN"/>
    <s v="Hungary"/>
    <s v="Upper middle income"/>
    <x v="1"/>
    <n v="9525243"/>
    <n v="91.664115645702097"/>
    <n v="8.3358843542979031"/>
    <n v="794013.2409458562"/>
    <n v="794013.2409458562"/>
    <n v="150"/>
    <n v="547.5"/>
    <n v="90"/>
    <n v="625285427.24486172"/>
    <n v="625285427.24486172"/>
    <n v="1095685098.3472166"/>
    <n v="16435276475.208248"/>
    <n v="3.8045324530321833E-2"/>
    <n v="1.2681774843440612E-2"/>
    <n v="0.11413597359096551"/>
  </r>
  <r>
    <s v="ISL"/>
    <s v="Iceland"/>
    <s v="High income: OECD"/>
    <x v="1"/>
    <n v="383558"/>
    <n v="100"/>
    <n v="0"/>
    <n v="0"/>
    <n v="0"/>
    <n v="150"/>
    <n v="547.5"/>
    <n v="90"/>
    <n v="0"/>
    <n v="0"/>
    <n v="0"/>
    <n v="0"/>
    <e v="#DIV/0!"/>
    <e v="#DIV/0!"/>
    <e v="#DIV/0!"/>
  </r>
  <r>
    <s v="IND"/>
    <s v="India"/>
    <s v="Lower middle income"/>
    <x v="0"/>
    <n v="1476377903"/>
    <n v="24.4"/>
    <n v="75.599999999999994"/>
    <n v="1116141694.6679997"/>
    <n v="1116141694.6679997"/>
    <n v="150"/>
    <n v="547.5"/>
    <n v="90"/>
    <n v="878961584551.0498"/>
    <n v="878961584551.0498"/>
    <n v="106120979971.95012"/>
    <n v="1591814699579.2517"/>
    <n v="0.55217581844380303"/>
    <n v="0.18405860614793437"/>
    <n v="1.6565274553314091"/>
  </r>
  <r>
    <s v="IDN"/>
    <s v="Indonesia"/>
    <s v="Lower middle income"/>
    <x v="3"/>
    <n v="293482460"/>
    <n v="71.999655559999994"/>
    <n v="28.000344440000006"/>
    <n v="82176099.670985252"/>
    <n v="82176099.670985252"/>
    <n v="150"/>
    <n v="547.5"/>
    <n v="90"/>
    <n v="64713678490.900887"/>
    <n v="64713678490.900887"/>
    <n v="59899197819.567902"/>
    <n v="898487967293.51855"/>
    <n v="7.2025091984075709E-2"/>
    <n v="2.4008363994691907E-2"/>
    <n v="0.21607527595222714"/>
  </r>
  <r>
    <s v="IRN"/>
    <s v="Iran, Islamic Rep."/>
    <s v="Upper middle income"/>
    <x v="2"/>
    <n v="91336270"/>
    <n v="94.8"/>
    <n v="5.2000000000000028"/>
    <n v="4749486.0400000019"/>
    <n v="4749486.0400000019"/>
    <n v="150"/>
    <n v="547.5"/>
    <n v="90"/>
    <n v="3740220256.5000014"/>
    <n v="3740220256.5000014"/>
    <n v="130357567150.05748"/>
    <n v="1955363507250.8623"/>
    <n v="1.9128004806423708E-3"/>
    <n v="6.3760016021412365E-4"/>
    <n v="5.7384014419271127E-3"/>
  </r>
  <r>
    <s v="IRQ"/>
    <s v="Iraq"/>
    <s v="Upper middle income"/>
    <x v="2"/>
    <n v="50966609"/>
    <n v="94.3"/>
    <n v="5.7000000000000028"/>
    <n v="2905096.7130000014"/>
    <n v="2905096.7130000014"/>
    <n v="150"/>
    <n v="547.5"/>
    <n v="90"/>
    <n v="2287763661.4875011"/>
    <n v="2287763661.4875011"/>
    <n v="60551177603.513367"/>
    <n v="908267664052.70044"/>
    <n v="2.5188209952113393E-3"/>
    <n v="8.3960699840377958E-4"/>
    <n v="7.556462985634017E-3"/>
  </r>
  <r>
    <s v="IRL"/>
    <s v="Ireland"/>
    <s v="High income: OECD"/>
    <x v="1"/>
    <n v="5346841"/>
    <n v="94"/>
    <n v="6"/>
    <n v="320810.45999999996"/>
    <n v="320810.45999999996"/>
    <n v="150"/>
    <n v="547.5"/>
    <n v="90"/>
    <n v="252638237.24999997"/>
    <n v="252638237.24999997"/>
    <n v="414476099.13160717"/>
    <n v="6217141486.9741077"/>
    <n v="4.0635754836739188E-2"/>
    <n v="1.3545251612246395E-2"/>
    <n v="0.12190726451021756"/>
  </r>
  <r>
    <s v="IMY"/>
    <s v="Isle of Man"/>
    <s v="High income: nonOECD"/>
    <x v="1"/>
    <n v="94237"/>
    <s v="N/A"/>
    <n v="14.792992315545245"/>
    <n v="13940.472168400373"/>
    <n v="13940.472168400373"/>
    <n v="150"/>
    <n v="547.5"/>
    <n v="90"/>
    <n v="10978121.832615294"/>
    <n v="10978121.832615294"/>
    <s v="N/A"/>
    <e v="#VALUE!"/>
    <e v="#VALUE!"/>
    <e v="#VALUE!"/>
    <e v="#VALUE!"/>
  </r>
  <r>
    <s v="ISR"/>
    <s v="Israel"/>
    <s v="High income: OECD"/>
    <x v="2"/>
    <n v="9632030"/>
    <n v="92.143412400000003"/>
    <n v="7.8565875999999975"/>
    <n v="756748.87460827979"/>
    <n v="756748.87460827979"/>
    <n v="150"/>
    <n v="547.5"/>
    <n v="90"/>
    <n v="595939738.75402033"/>
    <n v="595939738.75402033"/>
    <n v="683998780.19966102"/>
    <n v="10259981702.994915"/>
    <n v="5.8083898783178531E-2"/>
    <n v="1.9361299594392842E-2"/>
    <n v="0.17425169634953561"/>
  </r>
  <r>
    <s v="ITA"/>
    <s v="Italy"/>
    <s v="High income: OECD"/>
    <x v="1"/>
    <n v="61211831"/>
    <n v="100"/>
    <n v="0"/>
    <n v="0"/>
    <n v="0"/>
    <n v="150"/>
    <n v="547.5"/>
    <n v="90"/>
    <n v="0"/>
    <n v="0"/>
    <n v="3978955289.0601716"/>
    <n v="59684329335.902573"/>
    <n v="0"/>
    <n v="0"/>
    <n v="0"/>
  </r>
  <r>
    <s v="JAM"/>
    <s v="Jamaica"/>
    <s v="Upper middle income"/>
    <x v="5"/>
    <n v="2949838"/>
    <n v="91.567255029999998"/>
    <n v="8.4327449700000017"/>
    <n v="248752.31556814865"/>
    <n v="248752.31556814865"/>
    <n v="150"/>
    <n v="547.5"/>
    <n v="90"/>
    <n v="195892448.50991705"/>
    <n v="195892448.50991705"/>
    <n v="244066186.95842627"/>
    <n v="3660992804.3763938"/>
    <n v="5.3508012437430884E-2"/>
    <n v="1.7836004145810297E-2"/>
    <n v="0.16052403731229267"/>
  </r>
  <r>
    <s v="JPN"/>
    <s v="Japan"/>
    <s v="High income: OECD"/>
    <x v="3"/>
    <n v="120624738"/>
    <n v="93.23528202"/>
    <n v="6.7647179800000004"/>
    <n v="8159923.3398138918"/>
    <n v="8159923.3398138918"/>
    <n v="150"/>
    <n v="547.5"/>
    <n v="90"/>
    <n v="6425939630.1034393"/>
    <n v="6425939630.1034393"/>
    <n v="1629780081.2566016"/>
    <n v="24446701218.849022"/>
    <n v="0.26285508104254485"/>
    <n v="8.7618360347514954E-2"/>
    <n v="0.78856524312763454"/>
  </r>
  <r>
    <s v="JOR"/>
    <s v="Jordan"/>
    <s v="Upper middle income"/>
    <x v="2"/>
    <n v="9355173"/>
    <n v="100"/>
    <n v="0"/>
    <n v="0"/>
    <n v="0"/>
    <n v="150"/>
    <n v="547.5"/>
    <n v="90"/>
    <n v="0"/>
    <n v="0"/>
    <n v="479904568.92910677"/>
    <n v="7198568533.9366016"/>
    <n v="0"/>
    <n v="0"/>
    <n v="0"/>
  </r>
  <r>
    <s v="KAZ"/>
    <s v="Kazakhstan"/>
    <s v="Upper middle income"/>
    <x v="1"/>
    <n v="18572745"/>
    <n v="39.9"/>
    <n v="60.1"/>
    <n v="11162219.744999999"/>
    <n v="11162219.744999999"/>
    <n v="150"/>
    <n v="547.5"/>
    <n v="90"/>
    <n v="8790248049.1875"/>
    <n v="8790248049.1875"/>
    <n v="52080674870.849876"/>
    <n v="781210123062.74817"/>
    <n v="1.1252091837629007E-2"/>
    <n v="3.7506972792096683E-3"/>
    <n v="3.375627551288702E-2"/>
  </r>
  <r>
    <s v="KEN"/>
    <s v="Kenya"/>
    <s v="Low income"/>
    <x v="4"/>
    <n v="66306062.999999993"/>
    <n v="63.2"/>
    <n v="36.799999999999997"/>
    <n v="24400631.183999997"/>
    <n v="24400631.183999997"/>
    <n v="150"/>
    <n v="547.5"/>
    <n v="90"/>
    <n v="19215497057.399998"/>
    <n v="19215497057.399998"/>
    <n v="1419333043.2990847"/>
    <n v="21289995649.486271"/>
    <n v="0.90255993348987218"/>
    <n v="0.30085331116329073"/>
    <n v="2.707679800469617"/>
  </r>
  <r>
    <s v="KIR"/>
    <s v="Kiribati"/>
    <s v="Lower middle income"/>
    <x v="3"/>
    <n v="130715"/>
    <n v="7.2"/>
    <n v="92.8"/>
    <n v="121303.51999999999"/>
    <n v="121303.51999999999"/>
    <n v="150"/>
    <n v="547.5"/>
    <n v="90"/>
    <n v="95526521.999999985"/>
    <n v="95526521.999999985"/>
    <n v="147463.39816805688"/>
    <n v="2211950.9725208534"/>
    <n v="43.186545808080474"/>
    <n v="14.395515269360157"/>
    <n v="129.5596374242414"/>
  </r>
  <r>
    <s v="PRK"/>
    <s v="Korea, Dem. Rep."/>
    <s v="Low income"/>
    <x v="3"/>
    <n v="26718625"/>
    <s v="N/A"/>
    <n v="31.129346349193881"/>
    <n v="8317333.3159923041"/>
    <n v="8317333.3159923041"/>
    <n v="150"/>
    <n v="547.5"/>
    <n v="90"/>
    <n v="6549899986.3439398"/>
    <n v="6549899986.3439398"/>
    <s v="N/A"/>
    <e v="#VALUE!"/>
    <e v="#VALUE!"/>
    <e v="#VALUE!"/>
    <e v="#VALUE!"/>
  </r>
  <r>
    <s v="KOR"/>
    <s v="Korea, Rep."/>
    <s v="High income: OECD"/>
    <x v="3"/>
    <n v="52190069"/>
    <n v="96.086848349999997"/>
    <n v="3.9131516500000032"/>
    <n v="2042276.5462096401"/>
    <n v="2042276.5462096401"/>
    <n v="150"/>
    <n v="547.5"/>
    <n v="90"/>
    <n v="1608292780.1400917"/>
    <n v="1608292780.1400917"/>
    <n v="614733047.31301725"/>
    <n v="9220995709.6952591"/>
    <n v="0.17441638959327133"/>
    <n v="5.8138796531090442E-2"/>
    <n v="0.52324916877981398"/>
  </r>
  <r>
    <s v="KSV"/>
    <s v="Kosovo"/>
    <s v="Lower middle income"/>
    <x v="1"/>
    <s v="N/A"/>
    <s v="N/A"/>
    <n v="14.792992315545245"/>
    <e v="#VALUE!"/>
    <n v="0"/>
    <n v="150"/>
    <n v="547.5"/>
    <n v="90"/>
    <e v="#VALUE!"/>
    <n v="0"/>
    <n v="177423641.54793903"/>
    <n v="2661354623.2190857"/>
    <e v="#VALUE!"/>
    <e v="#VALUE!"/>
    <e v="#VALUE!"/>
  </r>
  <r>
    <s v="KWT"/>
    <s v="Kuwait"/>
    <s v="High income: nonOECD"/>
    <x v="2"/>
    <n v="4832793"/>
    <n v="92.6"/>
    <n v="7.4000000000000057"/>
    <n v="357626.68200000026"/>
    <n v="357626.68200000026"/>
    <n v="150"/>
    <n v="547.5"/>
    <n v="90"/>
    <n v="281631012.07500023"/>
    <n v="281631012.07500023"/>
    <n v="62059401760.996567"/>
    <n v="930891026414.94849"/>
    <n v="3.0253918459136812E-4"/>
    <n v="1.0084639486378936E-4"/>
    <n v="9.0761755377410426E-4"/>
  </r>
  <r>
    <s v="KGZ"/>
    <s v="Kyrgyz Republic"/>
    <s v="Low income"/>
    <x v="1"/>
    <n v="6871058"/>
    <n v="44.915064459544993"/>
    <n v="55.084935540455007"/>
    <n v="3784917.870247277"/>
    <n v="3784917.870247277"/>
    <n v="150"/>
    <n v="547.5"/>
    <n v="90"/>
    <n v="2980622822.8197308"/>
    <n v="2980622822.8197308"/>
    <n v="577303538.49183607"/>
    <n v="8659553077.3775406"/>
    <n v="0.34420053739336659"/>
    <n v="0.11473351246445553"/>
    <n v="1.0326016121800998"/>
  </r>
  <r>
    <s v="LAO"/>
    <s v="Lao PDR"/>
    <s v="Lower middle income"/>
    <x v="3"/>
    <n v="8806260"/>
    <s v="N/A"/>
    <n v="31.129346349193881"/>
    <n v="2741331.175810521"/>
    <n v="2741331.175810521"/>
    <n v="150"/>
    <n v="547.5"/>
    <n v="90"/>
    <n v="2158798300.9507852"/>
    <n v="2158798300.9507852"/>
    <n v="1331952550.8132415"/>
    <n v="19979288262.198624"/>
    <n v="0.10805181208758534"/>
    <n v="3.6017270695861782E-2"/>
    <n v="0.32415543626275606"/>
  </r>
  <r>
    <s v="LVA"/>
    <s v="Latvia"/>
    <s v="High income: nonOECD"/>
    <x v="1"/>
    <n v="1855822"/>
    <n v="100"/>
    <n v="0"/>
    <n v="0"/>
    <n v="0"/>
    <n v="150"/>
    <n v="547.5"/>
    <n v="90"/>
    <n v="0"/>
    <n v="0"/>
    <n v="581674804.62426615"/>
    <n v="8725122069.3639927"/>
    <n v="0"/>
    <n v="0"/>
    <n v="0"/>
  </r>
  <r>
    <s v="LBN"/>
    <s v="Lebanon"/>
    <s v="Upper middle income"/>
    <x v="2"/>
    <n v="5171981"/>
    <n v="42.51"/>
    <n v="57.49"/>
    <n v="2973371.8769"/>
    <n v="2973371.8769"/>
    <n v="150"/>
    <n v="547.5"/>
    <n v="90"/>
    <n v="2341530353.0587502"/>
    <n v="2341530353.0587502"/>
    <n v="1265644.42328598"/>
    <n v="18984666.3492897"/>
    <n v="123.33797760666766"/>
    <n v="41.112659202222552"/>
    <n v="370.01393282000299"/>
  </r>
  <r>
    <s v="LSO"/>
    <s v="Lesotho"/>
    <s v="Lower middle income"/>
    <x v="4"/>
    <n v="2419217"/>
    <s v="N/A"/>
    <n v="59.651025134275415"/>
    <n v="1443087.7407226637"/>
    <n v="1443087.7407226637"/>
    <n v="150"/>
    <n v="547.5"/>
    <n v="90"/>
    <n v="1136431595.8190978"/>
    <n v="1136431595.8190978"/>
    <n v="103261507.33429362"/>
    <n v="1548922610.0144043"/>
    <n v="0.73369165668550052"/>
    <n v="0.24456388556183351"/>
    <n v="2.201074970056502"/>
  </r>
  <r>
    <s v="LBR"/>
    <s v="Liberia"/>
    <s v="Low income"/>
    <x v="4"/>
    <n v="6395182"/>
    <n v="50.45"/>
    <n v="49.55"/>
    <n v="3168812.6809999999"/>
    <n v="3168812.6809999999"/>
    <n v="150"/>
    <n v="547.5"/>
    <n v="90"/>
    <n v="2495439986.2874999"/>
    <n v="2495439986.2874999"/>
    <n v="414154618.30642617"/>
    <n v="6212319274.5963926"/>
    <n v="0.40169216615957426"/>
    <n v="0.1338973887198581"/>
    <n v="1.2050764984787226"/>
  </r>
  <r>
    <s v="LBY"/>
    <s v="Libya"/>
    <s v="Upper middle income"/>
    <x v="2"/>
    <n v="7459411"/>
    <s v="N/A"/>
    <n v="14.937753881111108"/>
    <n v="1114268.4561605288"/>
    <n v="1114268.4561605288"/>
    <n v="150"/>
    <n v="547.5"/>
    <n v="90"/>
    <n v="877486409.22641647"/>
    <n v="877486409.22641647"/>
    <s v="N/A"/>
    <e v="#VALUE!"/>
    <e v="#VALUE!"/>
    <e v="#VALUE!"/>
    <e v="#VALUE!"/>
  </r>
  <r>
    <s v="LIE"/>
    <s v="Liechtenstein"/>
    <s v="High income: nonOECD"/>
    <x v="1"/>
    <n v="41314"/>
    <s v="N/A"/>
    <n v="14.792992315545245"/>
    <n v="6111.5768452443626"/>
    <n v="6111.5768452443626"/>
    <n v="150"/>
    <n v="547.5"/>
    <n v="90"/>
    <n v="4812866.765629936"/>
    <n v="4812866.765629936"/>
    <s v="N/A"/>
    <e v="#VALUE!"/>
    <e v="#VALUE!"/>
    <e v="#VALUE!"/>
    <e v="#VALUE!"/>
  </r>
  <r>
    <s v="LTU"/>
    <s v="Lithuania"/>
    <s v="High income: nonOECD"/>
    <x v="1"/>
    <n v="2816749"/>
    <n v="92.230674550000003"/>
    <n v="7.7693254499999966"/>
    <n v="218842.3969196204"/>
    <n v="218842.3969196204"/>
    <n v="150"/>
    <n v="547.5"/>
    <n v="90"/>
    <n v="172338387.57420108"/>
    <n v="172338387.57420108"/>
    <n v="397630289.50000304"/>
    <n v="5964454342.5000458"/>
    <n v="2.8894242067743645E-2"/>
    <n v="9.6314140225812143E-3"/>
    <n v="8.668272620323092E-2"/>
  </r>
  <r>
    <s v="LUX"/>
    <s v="Luxembourg"/>
    <s v="High income: OECD"/>
    <x v="1"/>
    <n v="636826"/>
    <n v="98.777892120000004"/>
    <n v="1.2221078799999958"/>
    <n v="7782.7007278887731"/>
    <n v="7782.7007278887731"/>
    <n v="150"/>
    <n v="547.5"/>
    <n v="90"/>
    <n v="6128876.8232124085"/>
    <n v="6128876.8232124085"/>
    <n v="58508352.210030153"/>
    <n v="877625283.15045226"/>
    <n v="6.983477961358741E-3"/>
    <n v="2.3278259871195805E-3"/>
    <n v="2.0950433884076226E-2"/>
  </r>
  <r>
    <s v="MAC"/>
    <s v="Macao SAR, China"/>
    <s v="High income: nonOECD"/>
    <x v="3"/>
    <n v="701551"/>
    <n v="94.392506589999996"/>
    <n v="5.6074934100000036"/>
    <n v="39339.426092789123"/>
    <n v="39339.426092789123"/>
    <n v="150"/>
    <n v="547.5"/>
    <n v="90"/>
    <n v="30979798.048071433"/>
    <n v="30979798.048071433"/>
    <n v="278781.88696400158"/>
    <n v="4181728.3044600235"/>
    <n v="7.4083718004897445"/>
    <n v="2.4694572668299148"/>
    <n v="22.225115401469235"/>
  </r>
  <r>
    <s v="MKD"/>
    <s v="Macedonia, FYR"/>
    <s v="Upper middle income"/>
    <x v="1"/>
    <n v="2068730"/>
    <n v="82.9"/>
    <n v="17.099999999999994"/>
    <n v="353752.82999999984"/>
    <n v="353752.82999999984"/>
    <n v="150"/>
    <n v="547.5"/>
    <n v="90"/>
    <n v="278580353.62499988"/>
    <n v="278580353.62499988"/>
    <n v="424368475.62691891"/>
    <n v="6365527134.4037838"/>
    <n v="4.3763909530658632E-2"/>
    <n v="1.4587969843552878E-2"/>
    <n v="0.13129172859197588"/>
  </r>
  <r>
    <s v="MDG"/>
    <s v="Madagascar"/>
    <s v="Low income"/>
    <x v="4"/>
    <n v="36000163"/>
    <n v="26.260447460000002"/>
    <n v="73.739552540000005"/>
    <n v="26546359.109870642"/>
    <n v="26546359.109870642"/>
    <n v="150"/>
    <n v="547.5"/>
    <n v="90"/>
    <n v="20905257799.023132"/>
    <n v="20905257799.023132"/>
    <n v="692026009.85163426"/>
    <n v="10380390147.774513"/>
    <n v="2.0139183114909298"/>
    <n v="0.67130610383030997"/>
    <n v="6.0417549344727899"/>
  </r>
  <r>
    <s v="MWI"/>
    <s v="Malawi"/>
    <s v="Low income"/>
    <x v="4"/>
    <n v="25959551"/>
    <n v="39"/>
    <n v="61"/>
    <n v="15835326.109999999"/>
    <n v="15835326.109999999"/>
    <n v="150"/>
    <n v="547.5"/>
    <n v="90"/>
    <n v="12470319311.625"/>
    <n v="12470319311.625"/>
    <n v="403920728.59788555"/>
    <n v="6058810928.9682837"/>
    <n v="2.0582123221574915"/>
    <n v="0.68607077405249728"/>
    <n v="6.174636966472475"/>
  </r>
  <r>
    <s v="MYS"/>
    <s v="Malaysia"/>
    <s v="Upper middle income"/>
    <x v="3"/>
    <n v="36845517"/>
    <n v="84.6"/>
    <n v="15.400000000000006"/>
    <n v="5674209.6180000016"/>
    <n v="5674209.6180000016"/>
    <n v="150"/>
    <n v="547.5"/>
    <n v="90"/>
    <n v="4468440074.1750011"/>
    <n v="4468440074.1750011"/>
    <n v="26660491900.712803"/>
    <n v="399907378510.69202"/>
    <n v="1.1173687494379482E-2"/>
    <n v="3.7245624981264935E-3"/>
    <n v="3.3521062483138443E-2"/>
  </r>
  <r>
    <s v="MDV"/>
    <s v="Maldives"/>
    <s v="Upper middle income"/>
    <x v="0"/>
    <n v="435873"/>
    <n v="96.4"/>
    <n v="3.5999999999999943"/>
    <n v="15691.427999999974"/>
    <n v="15691.427999999974"/>
    <n v="150"/>
    <n v="547.5"/>
    <n v="90"/>
    <n v="12356999.54999998"/>
    <n v="12356999.54999998"/>
    <n v="1158905.3361817906"/>
    <n v="17383580.042726859"/>
    <n v="0.71084319338294433"/>
    <n v="0.23694773112764811"/>
    <n v="2.1325295801488329"/>
  </r>
  <r>
    <s v="MLI"/>
    <s v="Mali"/>
    <s v="Low income"/>
    <x v="4"/>
    <n v="26034111"/>
    <n v="22.309298558584278"/>
    <n v="77.690701441415726"/>
    <n v="20226083.44993677"/>
    <n v="20226083.44993677"/>
    <n v="150"/>
    <n v="547.5"/>
    <n v="90"/>
    <n v="15928040716.825207"/>
    <n v="15928040716.825207"/>
    <n v="1347245165.1593575"/>
    <n v="20208677477.390362"/>
    <n v="0.78817828304923132"/>
    <n v="0.26272609434974381"/>
    <n v="2.3645348491476939"/>
  </r>
  <r>
    <s v="MLT"/>
    <s v="Malta"/>
    <s v="High income: nonOECD"/>
    <x v="2"/>
    <n v="436792"/>
    <n v="91.451904409999997"/>
    <n v="8.5480955900000026"/>
    <n v="37337.397689472811"/>
    <n v="37337.397689472811"/>
    <n v="150"/>
    <n v="547.5"/>
    <n v="90"/>
    <n v="29403200.680459838"/>
    <n v="29403200.680459838"/>
    <n v="0"/>
    <n v="0"/>
    <e v="#DIV/0!"/>
    <e v="#DIV/0!"/>
    <e v="#DIV/0!"/>
  </r>
  <r>
    <s v="MHL"/>
    <s v="Marshall Islands"/>
    <s v="Upper middle income"/>
    <x v="3"/>
    <n v="58101"/>
    <s v="N/A"/>
    <n v="31.129346349193881"/>
    <n v="18086.461522345136"/>
    <n v="18086.461522345136"/>
    <n v="150"/>
    <n v="547.5"/>
    <n v="90"/>
    <n v="14243088.448846795"/>
    <n v="14243088.448846795"/>
    <n v="0"/>
    <n v="0"/>
    <e v="#DIV/0!"/>
    <e v="#DIV/0!"/>
    <e v="#DIV/0!"/>
  </r>
  <r>
    <s v="MRT"/>
    <s v="Mauritania"/>
    <s v="Lower middle income"/>
    <x v="4"/>
    <n v="5640323"/>
    <n v="2.9"/>
    <n v="97.1"/>
    <n v="5476753.6329999994"/>
    <n v="5476753.6329999994"/>
    <n v="150"/>
    <n v="547.5"/>
    <n v="90"/>
    <n v="4312943485.9874992"/>
    <n v="4312943485.9874992"/>
    <n v="1996969500.3540106"/>
    <n v="29954542505.310158"/>
    <n v="0.14398295301031311"/>
    <n v="4.7994317670104369E-2"/>
    <n v="0.43194885903093932"/>
  </r>
  <r>
    <s v="MUS"/>
    <s v="Mauritius"/>
    <s v="Upper middle income"/>
    <x v="4"/>
    <n v="1287944"/>
    <n v="87.468981929999998"/>
    <n v="12.531018070000002"/>
    <n v="161392.49537148082"/>
    <n v="161392.49537148082"/>
    <n v="150"/>
    <n v="547.5"/>
    <n v="90"/>
    <n v="127096590.10504115"/>
    <n v="127096590.10504115"/>
    <n v="717808.34286977118"/>
    <n v="10767125.143046567"/>
    <n v="11.8041341970582"/>
    <n v="3.9347113990193998"/>
    <n v="35.412402591174597"/>
  </r>
  <r>
    <s v="MEX"/>
    <s v="Mexico"/>
    <s v="Upper middle income"/>
    <x v="5"/>
    <n v="143662574"/>
    <n v="71.320829799999998"/>
    <n v="28.679170200000002"/>
    <n v="41201234.111160956"/>
    <n v="41201234.111160956"/>
    <n v="150"/>
    <n v="547.5"/>
    <n v="90"/>
    <n v="32445971862.539253"/>
    <n v="32445971862.539253"/>
    <n v="79509538709.839935"/>
    <n v="1192643080647.5991"/>
    <n v="2.7205097978618427E-2"/>
    <n v="9.0683659928728084E-3"/>
    <n v="8.1615293935855288E-2"/>
  </r>
  <r>
    <s v="FSM"/>
    <s v="Micronesia, Fed. Sts."/>
    <s v="Lower middle income"/>
    <x v="3"/>
    <n v="120664"/>
    <s v="N/A"/>
    <n v="31.129346349193881"/>
    <n v="37561.914478791303"/>
    <n v="37561.914478791303"/>
    <n v="150"/>
    <n v="547.5"/>
    <n v="90"/>
    <n v="29580007.652048152"/>
    <n v="29580007.652048152"/>
    <n v="122710.4341582333"/>
    <n v="1840656.5123734996"/>
    <n v="16.070357208529455"/>
    <n v="5.3567857361764846"/>
    <n v="48.21107162558836"/>
  </r>
  <r>
    <s v="MDA"/>
    <s v="Moldova"/>
    <s v="Lower middle income"/>
    <x v="1"/>
    <n v="3066205"/>
    <n v="86.399975089999998"/>
    <n v="13.600024910000002"/>
    <n v="417004.64379166556"/>
    <n v="417004.64379166556"/>
    <n v="150"/>
    <n v="547.5"/>
    <n v="90"/>
    <n v="328391156.98593664"/>
    <n v="328391156.98593664"/>
    <n v="26844920.985309076"/>
    <n v="402673814.77963614"/>
    <n v="0.81552647560569391"/>
    <n v="0.2718421585352313"/>
    <n v="2.4465794268170815"/>
  </r>
  <r>
    <s v="MCO"/>
    <s v="Monaco"/>
    <s v="High income: nonOECD"/>
    <x v="1"/>
    <n v="43857"/>
    <n v="85.916849999999997"/>
    <n v="14.083150000000003"/>
    <n v="6176.4470955000015"/>
    <n v="6176.4470955000015"/>
    <n v="150"/>
    <n v="547.5"/>
    <n v="90"/>
    <n v="4863952.0877062511"/>
    <n v="4863952.0877062511"/>
    <n v="0"/>
    <n v="0"/>
    <e v="#DIV/0!"/>
    <e v="#DIV/0!"/>
    <e v="#DIV/0!"/>
  </r>
  <r>
    <s v="MNG"/>
    <s v="Mongolia"/>
    <s v="Lower middle income"/>
    <x v="3"/>
    <n v="3387631"/>
    <n v="86.199974670000003"/>
    <n v="13.800025329999997"/>
    <n v="467493.93608693214"/>
    <n v="467493.93608693214"/>
    <n v="150"/>
    <n v="547.5"/>
    <n v="90"/>
    <n v="368151474.66845906"/>
    <n v="368151474.66845906"/>
    <n v="2578929370.5691776"/>
    <n v="38683940558.537666"/>
    <n v="9.5169072579708251E-3"/>
    <n v="3.1723024193236081E-3"/>
    <n v="2.8550721773912477E-2"/>
  </r>
  <r>
    <s v="MNE"/>
    <s v="Montenegro"/>
    <s v="Upper middle income"/>
    <x v="1"/>
    <n v="607757"/>
    <n v="91.644713820000007"/>
    <n v="8.3552861799999931"/>
    <n v="50779.836628982557"/>
    <n v="50779.836628982557"/>
    <n v="150"/>
    <n v="547.5"/>
    <n v="90"/>
    <n v="39989121.345323764"/>
    <n v="39989121.345323764"/>
    <n v="57851763.840370655"/>
    <n v="867776457.60555983"/>
    <n v="4.6082284204465557E-2"/>
    <n v="1.5360761401488518E-2"/>
    <n v="0.13824685261339667"/>
  </r>
  <r>
    <s v="MAR"/>
    <s v="Morocco"/>
    <s v="Lower middle income"/>
    <x v="2"/>
    <n v="39190274"/>
    <n v="85"/>
    <n v="15"/>
    <n v="5878541.0999999996"/>
    <n v="5878541.0999999996"/>
    <n v="150"/>
    <n v="547.5"/>
    <n v="90"/>
    <n v="4629351116.25"/>
    <n v="4629351116.25"/>
    <n v="2752538514.3211255"/>
    <n v="41288077714.816879"/>
    <n v="0.11212319324298996"/>
    <n v="3.7374397747663317E-2"/>
    <n v="0.33636957972896986"/>
  </r>
  <r>
    <s v="MOZ"/>
    <s v="Mozambique"/>
    <s v="Low income"/>
    <x v="4"/>
    <n v="38875906"/>
    <n v="1.7749999999999999"/>
    <n v="98.224999999999994"/>
    <n v="38185858.668499999"/>
    <n v="38185858.668499999"/>
    <n v="150"/>
    <n v="547.5"/>
    <n v="90"/>
    <n v="30071363701.443748"/>
    <n v="30071363701.443748"/>
    <n v="1468383419.1173403"/>
    <n v="22025751286.760105"/>
    <n v="1.3652820877678729"/>
    <n v="0.4550940292559576"/>
    <n v="4.0958462633036179"/>
  </r>
  <r>
    <s v="MMR"/>
    <s v="Myanmar"/>
    <s v="Low income"/>
    <x v="3"/>
    <n v="58697747"/>
    <n v="3.1"/>
    <n v="96.9"/>
    <n v="56878116.843000002"/>
    <n v="56878116.843000002"/>
    <n v="150"/>
    <n v="547.5"/>
    <n v="90"/>
    <n v="44791517013.862503"/>
    <n v="44791517013.862503"/>
    <s v="N/A"/>
    <e v="#VALUE!"/>
    <e v="#VALUE!"/>
    <e v="#VALUE!"/>
    <e v="#VALUE!"/>
  </r>
  <r>
    <s v="NAM"/>
    <s v="Namibia"/>
    <s v="Upper middle income"/>
    <x v="4"/>
    <n v="3042197"/>
    <n v="67.032540403657137"/>
    <n v="32.967459596342863"/>
    <n v="1002935.0668161546"/>
    <n v="1002935.0668161546"/>
    <n v="150"/>
    <n v="547.5"/>
    <n v="90"/>
    <n v="789811365.1177218"/>
    <n v="789811365.1177218"/>
    <n v="322584332.15443879"/>
    <n v="4838764982.3165817"/>
    <n v="0.16322581650568113"/>
    <n v="5.4408605501893713E-2"/>
    <n v="0.48967744951704345"/>
  </r>
  <r>
    <s v="NPL"/>
    <s v="Nepal"/>
    <s v="Low income"/>
    <x v="0"/>
    <n v="32853228.000000004"/>
    <n v="34.722751322737302"/>
    <n v="65.277248677262691"/>
    <n v="21445683.340068098"/>
    <n v="21445683.340068098"/>
    <n v="150"/>
    <n v="547.5"/>
    <n v="90"/>
    <n v="16888475630.303627"/>
    <n v="16888475630.303627"/>
    <n v="1089428122.9560325"/>
    <n v="16341421844.340488"/>
    <n v="1.0334765108675412"/>
    <n v="0.34449217028918033"/>
    <n v="3.1004295326026234"/>
  </r>
  <r>
    <s v="NLD"/>
    <s v="Netherlands"/>
    <s v="High income: OECD"/>
    <x v="1"/>
    <n v="17268589"/>
    <n v="94.891853159999997"/>
    <n v="5.1081468400000034"/>
    <n v="882104.88331608812"/>
    <n v="882104.88331608812"/>
    <n v="150"/>
    <n v="547.5"/>
    <n v="90"/>
    <n v="694657595.61141944"/>
    <n v="694657595.61141944"/>
    <n v="9858835201.9990978"/>
    <n v="147882528029.98648"/>
    <n v="4.6973608367755389E-3"/>
    <n v="1.5657869455918464E-3"/>
    <n v="1.4092082510326618E-2"/>
  </r>
  <r>
    <s v="NCL"/>
    <s v="New Caledonia"/>
    <s v="High income: nonOECD"/>
    <x v="3"/>
    <n v="311623"/>
    <n v="44"/>
    <n v="56"/>
    <n v="174508.88"/>
    <n v="174508.88"/>
    <n v="150"/>
    <n v="547.5"/>
    <n v="90"/>
    <n v="137425743"/>
    <n v="137425743"/>
    <s v="N/A"/>
    <e v="#VALUE!"/>
    <e v="#VALUE!"/>
    <e v="#VALUE!"/>
    <e v="#VALUE!"/>
  </r>
  <r>
    <s v="NZL"/>
    <s v="New Zealand"/>
    <s v="High income: OECD"/>
    <x v="3"/>
    <n v="5208035"/>
    <n v="93.15"/>
    <n v="6.8499999999999943"/>
    <n v="356750.39749999973"/>
    <n v="356750.39749999973"/>
    <n v="150"/>
    <n v="547.5"/>
    <n v="90"/>
    <n v="280940938.03124976"/>
    <n v="280940938.03124976"/>
    <n v="3454391570.3166966"/>
    <n v="51815873554.75045"/>
    <n v="5.4219087464461605E-3"/>
    <n v="1.8073029154820534E-3"/>
    <n v="1.6265726239338481E-2"/>
  </r>
  <r>
    <s v="NIC"/>
    <s v="Nicaragua"/>
    <s v="Lower middle income"/>
    <x v="5"/>
    <n v="7390914"/>
    <n v="62.033791839999999"/>
    <n v="37.966208160000001"/>
    <n v="2806049.7941665826"/>
    <n v="2806049.7941665826"/>
    <n v="150"/>
    <n v="547.5"/>
    <n v="90"/>
    <n v="2209764212.9061837"/>
    <n v="2209764212.9061837"/>
    <n v="499234155.04849941"/>
    <n v="7488512325.7274914"/>
    <n v="0.29508721048830089"/>
    <n v="9.8362403496100301E-2"/>
    <n v="0.88526163146490267"/>
  </r>
  <r>
    <s v="NER"/>
    <s v="Niger"/>
    <s v="Low income"/>
    <x v="4"/>
    <n v="34512751"/>
    <n v="36.546748251748255"/>
    <n v="63.453251748251745"/>
    <n v="21899462.777277272"/>
    <n v="21899462.777277272"/>
    <n v="150"/>
    <n v="547.5"/>
    <n v="90"/>
    <n v="17245826937.10585"/>
    <n v="17245826937.10585"/>
    <n v="616279880.15976942"/>
    <n v="9244198202.3965416"/>
    <n v="1.8655838569790619"/>
    <n v="0.62186128565968724"/>
    <n v="5.5967515709371858"/>
  </r>
  <r>
    <s v="NGA"/>
    <s v="Nigeria"/>
    <s v="Lower middle income"/>
    <x v="4"/>
    <n v="273120384"/>
    <n v="59.7"/>
    <n v="40.299999999999997"/>
    <n v="110067514.75199999"/>
    <n v="110067514.75199999"/>
    <n v="150"/>
    <n v="547.5"/>
    <n v="90"/>
    <n v="86678167867.199997"/>
    <n v="86678167867.199997"/>
    <n v="105572259626.5011"/>
    <n v="1583583894397.5166"/>
    <n v="5.4735444186982715E-2"/>
    <n v="1.8245148062327569E-2"/>
    <n v="0.16420633256094813"/>
  </r>
  <r>
    <s v="MNP"/>
    <s v="Northern Mariana Islands"/>
    <s v="High income: nonOECD"/>
    <x v="3"/>
    <n v="56623"/>
    <n v="71.36"/>
    <n v="28.64"/>
    <n v="16216.8272"/>
    <n v="16216.8272"/>
    <n v="150"/>
    <n v="547.5"/>
    <n v="90"/>
    <n v="12770751.42"/>
    <n v="12770751.42"/>
    <s v="N/A"/>
    <e v="#VALUE!"/>
    <e v="#VALUE!"/>
    <e v="#VALUE!"/>
    <e v="#VALUE!"/>
  </r>
  <r>
    <s v="NOR"/>
    <s v="Norway"/>
    <s v="High income: OECD"/>
    <x v="1"/>
    <n v="5837893"/>
    <n v="100"/>
    <n v="0"/>
    <n v="0"/>
    <n v="0"/>
    <n v="150"/>
    <n v="547.5"/>
    <n v="90"/>
    <n v="0"/>
    <n v="0"/>
    <n v="55897649769.889412"/>
    <n v="838464746548.34119"/>
    <n v="0"/>
    <n v="0"/>
    <n v="0"/>
  </r>
  <r>
    <s v="OMN"/>
    <s v="Oman"/>
    <s v="High income: nonOECD"/>
    <x v="2"/>
    <n v="4920265"/>
    <n v="96.9"/>
    <n v="3.0999999999999943"/>
    <n v="152528.21499999973"/>
    <n v="152528.21499999973"/>
    <n v="150"/>
    <n v="547.5"/>
    <n v="90"/>
    <n v="120115969.31249979"/>
    <n v="120115969.31249979"/>
    <n v="24681714780.510975"/>
    <n v="370225721707.66461"/>
    <n v="3.2443982756915263E-4"/>
    <n v="1.0814660918971753E-4"/>
    <n v="9.7331948270745793E-4"/>
  </r>
  <r>
    <s v="PAK"/>
    <s v="Pakistan"/>
    <s v="Lower middle income"/>
    <x v="0"/>
    <n v="231743898"/>
    <s v="N/A"/>
    <n v="48.28744973545254"/>
    <n v="111903218.26172841"/>
    <n v="111903218.26172841"/>
    <n v="150"/>
    <n v="547.5"/>
    <n v="90"/>
    <n v="88123784381.111115"/>
    <n v="88123784381.111115"/>
    <n v="8516083273.6478567"/>
    <n v="127741249104.71785"/>
    <n v="0.68986161477777852"/>
    <n v="0.22995387159259284"/>
    <n v="2.0695848443333356"/>
  </r>
  <r>
    <s v="PLW"/>
    <s v="Palau"/>
    <s v="Upper middle income"/>
    <x v="3"/>
    <n v="24836"/>
    <n v="88.45"/>
    <n v="11.549999999999997"/>
    <n v="2868.5579999999995"/>
    <n v="2868.5579999999995"/>
    <n v="150"/>
    <n v="547.5"/>
    <n v="90"/>
    <n v="2258989.4249999998"/>
    <n v="2258989.4249999998"/>
    <n v="0"/>
    <n v="0"/>
    <e v="#DIV/0!"/>
    <e v="#DIV/0!"/>
    <e v="#DIV/0!"/>
  </r>
  <r>
    <s v="PAN"/>
    <s v="Panama"/>
    <s v="Upper middle income"/>
    <x v="5"/>
    <n v="4882047"/>
    <n v="64.2"/>
    <n v="35.799999999999997"/>
    <n v="1747772.8259999999"/>
    <n v="1747772.8259999999"/>
    <n v="150"/>
    <n v="547.5"/>
    <n v="90"/>
    <n v="1376371100.4749999"/>
    <n v="1376371100.4749999"/>
    <n v="223144062.80733454"/>
    <n v="3347160942.1100183"/>
    <n v="0.41120553336982618"/>
    <n v="0.13706851112327539"/>
    <n v="1.2336166001094786"/>
  </r>
  <r>
    <s v="PNG"/>
    <s v="Papua New Guinea"/>
    <s v="Lower middle income"/>
    <x v="3"/>
    <n v="10044486"/>
    <s v="N/A"/>
    <n v="31.129346349193881"/>
    <n v="3126782.8359362907"/>
    <n v="3126782.8359362907"/>
    <n v="150"/>
    <n v="547.5"/>
    <n v="90"/>
    <n v="2462341483.299829"/>
    <n v="2462341483.299829"/>
    <n v="4102225109.4098563"/>
    <n v="61533376641.147842"/>
    <n v="4.0016355638335672E-2"/>
    <n v="1.3338785212778556E-2"/>
    <n v="0.12004906691500701"/>
  </r>
  <r>
    <s v="PRY"/>
    <s v="Paraguay"/>
    <s v="Lower middle income"/>
    <x v="5"/>
    <n v="8693133"/>
    <n v="85.069687020000003"/>
    <n v="14.930312979999997"/>
    <n v="1297911.964667663"/>
    <n v="1297911.964667663"/>
    <n v="150"/>
    <n v="547.5"/>
    <n v="90"/>
    <n v="1022105672.1757846"/>
    <n v="1022105672.1757846"/>
    <n v="1106511912.5295491"/>
    <n v="16597678687.943237"/>
    <n v="6.1581242256379801E-2"/>
    <n v="2.05270807521266E-2"/>
    <n v="0.18474372676913942"/>
  </r>
  <r>
    <s v="PER"/>
    <s v="Peru"/>
    <s v="Upper middle income"/>
    <x v="5"/>
    <n v="36513996"/>
    <n v="73.054560190000004"/>
    <n v="26.945439809999996"/>
    <n v="9838856.8144058045"/>
    <n v="9838856.8144058045"/>
    <n v="150"/>
    <n v="547.5"/>
    <n v="90"/>
    <n v="7748099741.3445711"/>
    <n v="7748099741.3445711"/>
    <n v="18873226426.094227"/>
    <n v="283098396391.41339"/>
    <n v="2.736892840124748E-2"/>
    <n v="9.122976133749159E-3"/>
    <n v="8.2106785203742441E-2"/>
  </r>
  <r>
    <s v="PHL"/>
    <s v="Philippines"/>
    <s v="Lower middle income"/>
    <x v="3"/>
    <n v="127797234"/>
    <n v="83.752789115316318"/>
    <n v="16.247210884683682"/>
    <n v="20763486.112772677"/>
    <n v="20763486.112772677"/>
    <n v="150"/>
    <n v="547.5"/>
    <n v="90"/>
    <n v="16351245313.808483"/>
    <n v="16351245313.808483"/>
    <n v="7783755597.3120575"/>
    <n v="116756333959.68086"/>
    <n v="0.14004589523558536"/>
    <n v="4.6681965078528453E-2"/>
    <n v="0.42013768570675603"/>
  </r>
  <r>
    <s v="POL"/>
    <s v="Poland"/>
    <s v="High income: OECD"/>
    <x v="1"/>
    <n v="37447642"/>
    <n v="74"/>
    <n v="26"/>
    <n v="9736386.9199999999"/>
    <n v="9736386.9199999999"/>
    <n v="150"/>
    <n v="547.5"/>
    <n v="90"/>
    <n v="7667404699.5"/>
    <n v="7667404699.5"/>
    <n v="8848984711.9180393"/>
    <n v="132734770678.77058"/>
    <n v="5.7764854380588565E-2"/>
    <n v="1.9254951460196189E-2"/>
    <n v="0.1732945631417657"/>
  </r>
  <r>
    <s v="PRT"/>
    <s v="Portugal"/>
    <s v="High income: OECD"/>
    <x v="1"/>
    <n v="10432816"/>
    <n v="86"/>
    <n v="14"/>
    <n v="1460594.2400000002"/>
    <n v="1460594.2400000002"/>
    <n v="150"/>
    <n v="547.5"/>
    <n v="90"/>
    <n v="1150217964.0000002"/>
    <n v="1150217964.0000002"/>
    <n v="1382577582.3167782"/>
    <n v="20738663734.751671"/>
    <n v="5.546249163935215E-2"/>
    <n v="1.8487497213117383E-2"/>
    <n v="0.16638747491805647"/>
  </r>
  <r>
    <s v="PRI"/>
    <s v="Puerto Rico"/>
    <s v="High income: nonOECD"/>
    <x v="5"/>
    <n v="3703707"/>
    <n v="92.9"/>
    <n v="7.0999999999999943"/>
    <n v="262963.19699999975"/>
    <n v="262963.19699999975"/>
    <n v="150"/>
    <n v="547.5"/>
    <n v="90"/>
    <n v="207083517.63749981"/>
    <n v="207083517.63749981"/>
    <n v="0"/>
    <n v="0"/>
    <e v="#DIV/0!"/>
    <e v="#DIV/0!"/>
    <e v="#DIV/0!"/>
  </r>
  <r>
    <s v="QAT"/>
    <s v="Qatar"/>
    <s v="High income: nonOECD"/>
    <x v="2"/>
    <n v="2760329"/>
    <n v="98.500412389999994"/>
    <n v="1.4995876100000061"/>
    <n v="41393.551679237069"/>
    <n v="41393.551679237069"/>
    <n v="150"/>
    <n v="547.5"/>
    <n v="90"/>
    <n v="32597421.947399192"/>
    <n v="32597421.947399192"/>
    <n v="36198411498.324532"/>
    <n v="542976172474.86798"/>
    <n v="6.003471901689753E-5"/>
    <n v="2.0011573005632511E-5"/>
    <n v="1.801041570506926E-4"/>
  </r>
  <r>
    <s v="ROM"/>
    <s v="Romania"/>
    <s v="Upper middle income"/>
    <x v="1"/>
    <n v="20232088"/>
    <n v="58"/>
    <n v="42"/>
    <n v="8497476.959999999"/>
    <n v="8497476.959999999"/>
    <n v="150"/>
    <n v="547.5"/>
    <n v="90"/>
    <n v="6691763105.999999"/>
    <n v="6691763105.999999"/>
    <n v="4151541416.0069842"/>
    <n v="62273121240.104767"/>
    <n v="0.10745828975231146"/>
    <n v="3.5819429917437154E-2"/>
    <n v="0.32237486925693437"/>
  </r>
  <r>
    <s v="RUS"/>
    <s v="Russian Federation"/>
    <s v="High income: nonOECD"/>
    <x v="1"/>
    <n v="133556108"/>
    <n v="93"/>
    <n v="7"/>
    <n v="9348927.5600000005"/>
    <n v="9348927.5600000005"/>
    <n v="150"/>
    <n v="547.5"/>
    <n v="90"/>
    <n v="7362280453.5"/>
    <n v="7362280453.5"/>
    <n v="321602181004.87122"/>
    <n v="4824032715073.0684"/>
    <n v="1.5261671900557343E-3"/>
    <n v="5.0872239668524485E-4"/>
    <n v="4.578501570167203E-3"/>
  </r>
  <r>
    <s v="RWA"/>
    <s v="Rwanda"/>
    <s v="Low income"/>
    <x v="4"/>
    <n v="17771249"/>
    <n v="40.299999999999997"/>
    <n v="59.7"/>
    <n v="10609435.652999999"/>
    <n v="10609435.652999999"/>
    <n v="150"/>
    <n v="547.5"/>
    <n v="90"/>
    <n v="8354930576.7374992"/>
    <n v="8354930576.7374992"/>
    <n v="374942592.12015301"/>
    <n v="5624138881.8022947"/>
    <n v="1.485548410579097"/>
    <n v="0.49518280352636573"/>
    <n v="4.4566452317372915"/>
  </r>
  <r>
    <s v="WSM"/>
    <s v="Samoa"/>
    <s v="Lower middle income"/>
    <x v="3"/>
    <n v="211105"/>
    <s v="N/A"/>
    <n v="31.129346349193881"/>
    <n v="65715.606610465737"/>
    <n v="65715.606610465737"/>
    <n v="150"/>
    <n v="547.5"/>
    <n v="90"/>
    <n v="51751040.205741771"/>
    <n v="51751040.205741771"/>
    <n v="4184944.6022272655"/>
    <n v="62774169.033408985"/>
    <n v="0.82440024300758796"/>
    <n v="0.27480008100252934"/>
    <n v="2.4732007290227642"/>
  </r>
  <r>
    <s v="SMR"/>
    <s v="San Marino"/>
    <s v="High income: nonOECD"/>
    <x v="1"/>
    <n v="33108"/>
    <s v="N/A"/>
    <n v="14.792992315545245"/>
    <n v="4897.6638958307194"/>
    <n v="4897.6638958307194"/>
    <n v="150"/>
    <n v="547.5"/>
    <n v="90"/>
    <n v="3856910.3179666917"/>
    <n v="3856910.3179666917"/>
    <s v="N/A"/>
    <e v="#VALUE!"/>
    <e v="#VALUE!"/>
    <e v="#VALUE!"/>
    <e v="#VALUE!"/>
  </r>
  <r>
    <s v="STP"/>
    <s v="Sao Tome and Principe"/>
    <s v="Lower middle income"/>
    <x v="4"/>
    <n v="278192"/>
    <s v="N/A"/>
    <n v="59.651025134275415"/>
    <n v="165944.37984154347"/>
    <n v="165944.37984154347"/>
    <n v="150"/>
    <n v="547.5"/>
    <n v="90"/>
    <n v="130681199.12521549"/>
    <n v="130681199.12521549"/>
    <n v="6448878.1292010797"/>
    <n v="96733171.938016191"/>
    <n v="1.3509450430194949"/>
    <n v="0.45031501433983162"/>
    <n v="4.0528351290584848"/>
  </r>
  <r>
    <s v="SAU"/>
    <s v="Saudi Arabia"/>
    <s v="High income: nonOECD"/>
    <x v="2"/>
    <n v="35634201"/>
    <n v="60.3"/>
    <n v="39.700000000000003"/>
    <n v="14146777.797"/>
    <n v="14146777.797"/>
    <n v="150"/>
    <n v="547.5"/>
    <n v="90"/>
    <n v="11140587515.137501"/>
    <n v="11140587515.137501"/>
    <n v="227429658719.18033"/>
    <n v="3411444880787.7051"/>
    <n v="3.265650744609167E-3"/>
    <n v="1.0885502482030557E-3"/>
    <n v="9.7969522338275019E-3"/>
  </r>
  <r>
    <s v="SEN"/>
    <s v="Senegal"/>
    <s v="Lower middle income"/>
    <x v="4"/>
    <n v="21855703"/>
    <n v="92"/>
    <n v="8"/>
    <n v="1748456.24"/>
    <n v="1748456.24"/>
    <n v="150"/>
    <n v="547.5"/>
    <n v="90"/>
    <n v="1376909289"/>
    <n v="1376909289"/>
    <n v="551591058.22012687"/>
    <n v="8273865873.3019028"/>
    <n v="0.16641667995163043"/>
    <n v="5.547222665054348E-2"/>
    <n v="0.4992500398548913"/>
  </r>
  <r>
    <s v="SRB"/>
    <s v="Serbia"/>
    <s v="Upper middle income"/>
    <x v="1"/>
    <n v="8582256"/>
    <n v="80.8"/>
    <n v="19.200000000000003"/>
    <n v="1647793.1520000002"/>
    <n v="1647793.1520000002"/>
    <n v="150"/>
    <n v="547.5"/>
    <n v="90"/>
    <n v="1297637107.2000003"/>
    <n v="1297637107.2000003"/>
    <n v="1253506714.6213751"/>
    <n v="18802600719.320625"/>
    <n v="6.9013703294066781E-2"/>
    <n v="2.3004567764688927E-2"/>
    <n v="0.20704110988220034"/>
  </r>
  <r>
    <s v="SYC"/>
    <s v="Seychelles"/>
    <s v="Upper middle income"/>
    <x v="4"/>
    <n v="98416"/>
    <n v="89.317723049999998"/>
    <n v="10.682276950000002"/>
    <n v="10513.069683112002"/>
    <n v="10513.069683112002"/>
    <n v="150"/>
    <n v="547.5"/>
    <n v="90"/>
    <n v="8279042.3754507015"/>
    <n v="8279042.3754507015"/>
    <n v="1160995.7542812461"/>
    <n v="17414936.314218692"/>
    <n v="0.47539894640275832"/>
    <n v="0.15846631546758611"/>
    <n v="1.4261968392082749"/>
  </r>
  <r>
    <s v="SLE"/>
    <s v="Sierra Leone"/>
    <s v="Low income"/>
    <x v="4"/>
    <n v="8057580"/>
    <n v="28.1"/>
    <n v="71.900000000000006"/>
    <n v="5793400.0200000005"/>
    <n v="5793400.0200000005"/>
    <n v="150"/>
    <n v="547.5"/>
    <n v="90"/>
    <n v="4562302515.75"/>
    <n v="4562302515.75"/>
    <n v="309951994.2008189"/>
    <n v="4649279913.0122833"/>
    <n v="0.98129228635624777"/>
    <n v="0.32709742878541592"/>
    <n v="2.9438768590687432"/>
  </r>
  <r>
    <s v="SGP"/>
    <s v="Singapore"/>
    <s v="High income: nonOECD"/>
    <x v="3"/>
    <n v="6577884"/>
    <n v="95.869676760000004"/>
    <n v="4.1303232399999956"/>
    <n v="271687.87155224133"/>
    <n v="271687.87155224133"/>
    <n v="150"/>
    <n v="547.5"/>
    <n v="90"/>
    <n v="213954198.84739006"/>
    <n v="213954198.84739006"/>
    <n v="0"/>
    <n v="0"/>
    <e v="#DIV/0!"/>
    <e v="#DIV/0!"/>
    <e v="#DIV/0!"/>
  </r>
  <r>
    <s v="SXM"/>
    <s v="Sint Maarten (Dutch part)"/>
    <s v="High income: nonOECD"/>
    <x v="5"/>
    <n v="56791"/>
    <s v="N/A"/>
    <n v="26.644402312055828"/>
    <n v="15131.622517039625"/>
    <n v="15131.622517039625"/>
    <n v="150"/>
    <n v="547.5"/>
    <n v="90"/>
    <n v="11916152.732168704"/>
    <n v="11916152.732168704"/>
    <s v="N/A"/>
    <e v="#VALUE!"/>
    <e v="#VALUE!"/>
    <e v="#VALUE!"/>
    <e v="#VALUE!"/>
  </r>
  <r>
    <s v="SVK"/>
    <s v="Slovak Republic"/>
    <s v="High income: OECD"/>
    <x v="1"/>
    <n v="5395535"/>
    <n v="100"/>
    <n v="0"/>
    <n v="0"/>
    <n v="0"/>
    <n v="150"/>
    <n v="547.5"/>
    <n v="90"/>
    <n v="0"/>
    <n v="0"/>
    <n v="586207377.22308779"/>
    <n v="8793110658.3463173"/>
    <n v="0"/>
    <n v="0"/>
    <n v="0"/>
  </r>
  <r>
    <s v="SVN"/>
    <s v="Slovenia"/>
    <s v="High income: OECD"/>
    <x v="1"/>
    <n v="2086065.9999999998"/>
    <n v="87.336734693877546"/>
    <n v="12.663265306122454"/>
    <n v="264164.07204081642"/>
    <n v="264164.07204081642"/>
    <n v="150"/>
    <n v="547.5"/>
    <n v="90"/>
    <n v="208029206.73214293"/>
    <n v="208029206.73214293"/>
    <n v="179102965.90790325"/>
    <n v="2686544488.6185489"/>
    <n v="7.743374718470189E-2"/>
    <n v="2.5811249061567298E-2"/>
    <n v="0.23230124155410567"/>
  </r>
  <r>
    <s v="SLB"/>
    <s v="Solomon Islands"/>
    <s v="Lower middle income"/>
    <x v="3"/>
    <n v="764146"/>
    <s v="N/A"/>
    <n v="31.129346349193881"/>
    <n v="237873.65495351108"/>
    <n v="237873.65495351108"/>
    <n v="150"/>
    <n v="547.5"/>
    <n v="90"/>
    <n v="187325503.27588996"/>
    <n v="187325503.27588996"/>
    <n v="177911447.47763148"/>
    <n v="2668671712.1644721"/>
    <n v="7.0194285202639775E-2"/>
    <n v="2.3398095067546594E-2"/>
    <n v="0.21058285560791931"/>
  </r>
  <r>
    <s v="SOM"/>
    <s v="Somalia"/>
    <s v="Low income"/>
    <x v="4"/>
    <n v="16880129"/>
    <s v="N/A"/>
    <n v="59.651025134275415"/>
    <n v="10069169.992488114"/>
    <n v="10069169.992488114"/>
    <n v="150"/>
    <n v="547.5"/>
    <n v="90"/>
    <n v="7929471369.0843897"/>
    <n v="7929471369.0843897"/>
    <s v="N/A"/>
    <e v="#VALUE!"/>
    <e v="#VALUE!"/>
    <e v="#VALUE!"/>
    <e v="#VALUE!"/>
  </r>
  <r>
    <s v="ZAF"/>
    <s v="South Africa"/>
    <s v="Upper middle income"/>
    <x v="4"/>
    <n v="58095501"/>
    <n v="85.819546430000003"/>
    <n v="14.180453569999997"/>
    <n v="8238205.545563885"/>
    <n v="8238205.545563885"/>
    <n v="150"/>
    <n v="547.5"/>
    <n v="90"/>
    <n v="6487586867.1315594"/>
    <n v="6487586867.1315594"/>
    <n v="29273625097.571095"/>
    <n v="439104376463.56641"/>
    <n v="1.4774589402594695E-2"/>
    <n v="4.9248631341982313E-3"/>
    <n v="4.4323768207784081E-2"/>
  </r>
  <r>
    <s v="SSD"/>
    <s v="South Sudan"/>
    <s v="Low income"/>
    <x v="4"/>
    <n v="17296842"/>
    <s v="N/A"/>
    <n v="59.651025134275415"/>
    <n v="10317743.568855906"/>
    <n v="10317743.568855906"/>
    <n v="150"/>
    <n v="547.5"/>
    <n v="90"/>
    <n v="8125223060.4740257"/>
    <n v="8125223060.4740257"/>
    <n v="0"/>
    <n v="0"/>
    <e v="#DIV/0!"/>
    <e v="#DIV/0!"/>
    <e v="#DIV/0!"/>
  </r>
  <r>
    <s v="ESP"/>
    <s v="Spain"/>
    <s v="High income: OECD"/>
    <x v="1"/>
    <n v="48235492"/>
    <n v="86.146865861411314"/>
    <n v="13.853134138588686"/>
    <n v="6682127.4091682145"/>
    <n v="6682127.4091682145"/>
    <n v="150"/>
    <n v="547.5"/>
    <n v="90"/>
    <n v="5262175334.7199688"/>
    <n v="5262175334.7199688"/>
    <n v="2120296778.8542163"/>
    <n v="31804451682.813244"/>
    <n v="0.16545404986697468"/>
    <n v="5.5151349955658222E-2"/>
    <n v="0.49636214960092401"/>
  </r>
  <r>
    <s v="LKA"/>
    <s v="Sri Lanka"/>
    <s v="Lower middle income"/>
    <x v="0"/>
    <n v="23271183"/>
    <s v="N/A"/>
    <n v="48.28744973545254"/>
    <n v="11237060.793970177"/>
    <n v="11237060.793970177"/>
    <n v="150"/>
    <n v="547.5"/>
    <n v="90"/>
    <n v="8849185375.2515144"/>
    <n v="8849185375.2515144"/>
    <n v="464220477.24420649"/>
    <n v="6963307158.6630974"/>
    <n v="1.2708308241497266"/>
    <n v="0.42361027471657547"/>
    <n v="3.8124924724491795"/>
  </r>
  <r>
    <s v="KNA"/>
    <s v="St. Kitts and Nevis"/>
    <s v="High income: nonOECD"/>
    <x v="5"/>
    <n v="62581"/>
    <s v="N/A"/>
    <n v="26.644402312055828"/>
    <n v="16674.333410907657"/>
    <n v="16674.333410907657"/>
    <n v="150"/>
    <n v="547.5"/>
    <n v="90"/>
    <n v="13131037.56108978"/>
    <n v="13131037.56108978"/>
    <n v="0"/>
    <n v="0"/>
    <e v="#DIV/0!"/>
    <e v="#DIV/0!"/>
    <e v="#DIV/0!"/>
  </r>
  <r>
    <s v="LCA"/>
    <s v="St. Lucia"/>
    <s v="Upper middle income"/>
    <x v="5"/>
    <n v="201817"/>
    <n v="85.1"/>
    <n v="14.900000000000006"/>
    <n v="30070.733000000011"/>
    <n v="30070.733000000011"/>
    <n v="150"/>
    <n v="547.5"/>
    <n v="90"/>
    <n v="23680702.237500008"/>
    <n v="23680702.237500008"/>
    <n v="643469.71291057637"/>
    <n v="9652045.6936586462"/>
    <n v="2.4534386791245852"/>
    <n v="0.81781289304152838"/>
    <n v="7.3603160373737548"/>
  </r>
  <r>
    <s v="MAF"/>
    <s v="St. Martin (French part)"/>
    <s v="High income: nonOECD"/>
    <x v="5"/>
    <s v="N/A"/>
    <s v="N/A"/>
    <n v="26.644402312055828"/>
    <e v="#VALUE!"/>
    <n v="0"/>
    <n v="150"/>
    <n v="547.5"/>
    <n v="90"/>
    <e v="#VALUE!"/>
    <n v="0"/>
    <s v="N/A"/>
    <e v="#VALUE!"/>
    <e v="#VALUE!"/>
    <e v="#VALUE!"/>
    <e v="#VALUE!"/>
  </r>
  <r>
    <s v="VCT"/>
    <s v="St. Vincent and the Grenadines"/>
    <s v="Upper middle income"/>
    <x v="5"/>
    <n v="110012"/>
    <s v="N/A"/>
    <n v="26.644402312055828"/>
    <n v="29312.039871538855"/>
    <n v="29312.039871538855"/>
    <n v="150"/>
    <n v="547.5"/>
    <n v="90"/>
    <n v="23083231.398836847"/>
    <n v="23083231.398836847"/>
    <n v="486293.25308693683"/>
    <n v="7294398.7963040527"/>
    <n v="3.1645145876220431"/>
    <n v="1.0548381958740145"/>
    <n v="9.4935437628661283"/>
  </r>
  <r>
    <s v="SDN"/>
    <s v="Sudan"/>
    <s v="Lower middle income"/>
    <x v="4"/>
    <n v="55077835"/>
    <s v="N/A"/>
    <n v="59.651025134275415"/>
    <n v="32854493.199264742"/>
    <n v="32854493.199264742"/>
    <n v="150"/>
    <n v="547.5"/>
    <n v="90"/>
    <n v="25872913394.420986"/>
    <n v="25872913394.420986"/>
    <n v="11997149674.977474"/>
    <n v="179957245124.66211"/>
    <n v="0.14377255762332877"/>
    <n v="4.7924185874442929E-2"/>
    <n v="0.43131767286998635"/>
  </r>
  <r>
    <s v="SUR"/>
    <s v="Suriname"/>
    <s v="Upper middle income"/>
    <x v="5"/>
    <n v="603805"/>
    <n v="92.544064210000002"/>
    <n v="7.4559357899999981"/>
    <n v="45019.313096809492"/>
    <n v="45019.313096809492"/>
    <n v="150"/>
    <n v="547.5"/>
    <n v="90"/>
    <n v="35452709.063737474"/>
    <n v="35452709.063737474"/>
    <n v="608902361.97083366"/>
    <n v="9133535429.5625057"/>
    <n v="3.8815975847630397E-3"/>
    <n v="1.2938658615876801E-3"/>
    <n v="1.1644792754289118E-2"/>
  </r>
  <r>
    <s v="SWZ"/>
    <s v="Swaziland"/>
    <s v="Lower middle income"/>
    <x v="4"/>
    <n v="1515527"/>
    <n v="60.3"/>
    <n v="39.700000000000003"/>
    <n v="601664.21900000004"/>
    <n v="601664.21900000004"/>
    <n v="150"/>
    <n v="547.5"/>
    <n v="90"/>
    <n v="473810572.46250004"/>
    <n v="473810572.46250004"/>
    <n v="92945139.393425897"/>
    <n v="1394177090.9013884"/>
    <n v="0.33984963284410558"/>
    <n v="0.11328321094803519"/>
    <n v="1.0195488985323167"/>
  </r>
  <r>
    <s v="SWE"/>
    <s v="Sweden"/>
    <s v="High income: OECD"/>
    <x v="1"/>
    <n v="10690986"/>
    <n v="95"/>
    <n v="5"/>
    <n v="534549.30000000005"/>
    <n v="534549.30000000005"/>
    <n v="150"/>
    <n v="547.5"/>
    <n v="90"/>
    <n v="420957573.75000006"/>
    <n v="420957573.75000006"/>
    <n v="6600024142.4592056"/>
    <n v="99000362136.888092"/>
    <n v="4.2520811506521639E-3"/>
    <n v="1.4173603835507212E-3"/>
    <n v="1.2756243451956494E-2"/>
  </r>
  <r>
    <s v="CHE"/>
    <s v="Switzerland"/>
    <s v="High income: OECD"/>
    <x v="1"/>
    <n v="9477452"/>
    <n v="99"/>
    <n v="1"/>
    <n v="94774.52"/>
    <n v="94774.52"/>
    <n v="150"/>
    <n v="547.5"/>
    <n v="90"/>
    <n v="74634934.5"/>
    <n v="74634934.5"/>
    <n v="278578079.29358196"/>
    <n v="4178671189.4037294"/>
    <n v="1.7860925427504129E-2"/>
    <n v="5.9536418091680433E-3"/>
    <n v="5.3582776282512394E-2"/>
  </r>
  <r>
    <s v="SYR"/>
    <s v="Syrian Arab Republic"/>
    <s v="Lower middle income"/>
    <x v="2"/>
    <n v="29933865"/>
    <s v="N/A"/>
    <n v="14.937753881111108"/>
    <n v="4471447.0808040593"/>
    <n v="4471447.0808040593"/>
    <n v="150"/>
    <n v="547.5"/>
    <n v="90"/>
    <n v="3521264576.1331968"/>
    <n v="3521264576.1331968"/>
    <s v="N/A"/>
    <e v="#VALUE!"/>
    <e v="#VALUE!"/>
    <e v="#VALUE!"/>
    <e v="#VALUE!"/>
  </r>
  <r>
    <s v="TJK"/>
    <s v="Tajikistan"/>
    <s v="Low income"/>
    <x v="1"/>
    <n v="11407028"/>
    <s v="N/A"/>
    <n v="14.792992315545245"/>
    <n v="1687440.7754720943"/>
    <n v="1687440.7754720943"/>
    <n v="150"/>
    <n v="547.5"/>
    <n v="90"/>
    <n v="1328859610.6842742"/>
    <n v="1328859610.6842742"/>
    <n v="89930664.353367537"/>
    <n v="1348959965.300513"/>
    <n v="0.98509936904483231"/>
    <n v="0.32836645634827744"/>
    <n v="2.9552981071344968"/>
  </r>
  <r>
    <s v="TZA"/>
    <s v="Tanzania"/>
    <s v="Low income"/>
    <x v="4"/>
    <n v="79354326"/>
    <n v="36.203333333327386"/>
    <n v="63.796666666672614"/>
    <n v="50625414.843804725"/>
    <n v="50625414.843804725"/>
    <n v="150"/>
    <n v="547.5"/>
    <n v="90"/>
    <n v="39867514189.496223"/>
    <n v="39867514189.496223"/>
    <n v="2569147998.6777964"/>
    <n v="38537219980.166946"/>
    <n v="1.0345197243084454"/>
    <n v="0.34483990810281512"/>
    <n v="3.1035591729253365"/>
  </r>
  <r>
    <s v="THA"/>
    <s v="Thailand"/>
    <s v="Upper middle income"/>
    <x v="3"/>
    <n v="67554088"/>
    <n v="90.245686300000003"/>
    <n v="9.7543136999999973"/>
    <n v="6589437.6606940543"/>
    <n v="6589437.6606940543"/>
    <n v="150"/>
    <n v="547.5"/>
    <n v="90"/>
    <n v="5189182157.7965679"/>
    <n v="5189182157.7965679"/>
    <n v="13671322551.946495"/>
    <n v="205069838279.19742"/>
    <n v="2.5304463110424006E-2"/>
    <n v="8.4348210368080014E-3"/>
    <n v="7.5913389331272021E-2"/>
  </r>
  <r>
    <s v="TMP"/>
    <s v="Timor-Leste"/>
    <s v="Lower middle income"/>
    <x v="3"/>
    <n v="1555457"/>
    <s v="N/A"/>
    <n v="31.129346349193881"/>
    <n v="484203.59684278065"/>
    <n v="484203.59684278065"/>
    <n v="150"/>
    <n v="547.5"/>
    <n v="90"/>
    <n v="381310332.51368976"/>
    <n v="381310332.51368976"/>
    <n v="6029932.4922673218"/>
    <n v="90448987.384009823"/>
    <n v="4.2157501542256108"/>
    <n v="1.4052500514085371"/>
    <n v="12.647250462676833"/>
  </r>
  <r>
    <s v="TGO"/>
    <s v="Togo"/>
    <s v="Low income"/>
    <x v="4"/>
    <n v="10014965"/>
    <n v="22"/>
    <n v="78"/>
    <n v="7811672.7000000002"/>
    <n v="7811672.7000000002"/>
    <n v="150"/>
    <n v="547.5"/>
    <n v="90"/>
    <n v="6151692251.25"/>
    <n v="6151692251.25"/>
    <n v="289914233.93356359"/>
    <n v="4348713509.0034542"/>
    <n v="1.4146004878255856"/>
    <n v="0.47153349594186184"/>
    <n v="4.2438014634767569"/>
  </r>
  <r>
    <s v="TON"/>
    <s v="Tonga"/>
    <s v="Upper middle income"/>
    <x v="3"/>
    <n v="120995"/>
    <s v="N/A"/>
    <n v="31.129346349193881"/>
    <n v="37664.952615207134"/>
    <n v="37664.952615207134"/>
    <n v="150"/>
    <n v="547.5"/>
    <n v="90"/>
    <n v="29661150.184475619"/>
    <n v="29661150.184475619"/>
    <n v="258294.04268454493"/>
    <n v="3874410.640268174"/>
    <n v="7.6556547404130013"/>
    <n v="2.5518849134710004"/>
    <n v="22.966964221239007"/>
  </r>
  <r>
    <s v="TTO"/>
    <s v="Trinidad and Tobago"/>
    <s v="High income: nonOECD"/>
    <x v="5"/>
    <n v="1307826"/>
    <s v="N/A"/>
    <n v="26.644402312055828"/>
    <n v="348462.42098166724"/>
    <n v="348462.42098166724"/>
    <n v="150"/>
    <n v="547.5"/>
    <n v="90"/>
    <n v="274414156.52306294"/>
    <n v="274414156.52306294"/>
    <n v="8121778589.9499531"/>
    <n v="121826678849.2493"/>
    <n v="2.2524964081359253E-3"/>
    <n v="7.5083213604530837E-4"/>
    <n v="6.7574892244077756E-3"/>
  </r>
  <r>
    <s v="TUN"/>
    <s v="Tunisia"/>
    <s v="Upper middle income"/>
    <x v="2"/>
    <n v="12561225"/>
    <n v="91.6"/>
    <n v="8.4000000000000057"/>
    <n v="1055142.9000000008"/>
    <n v="1055142.9000000008"/>
    <n v="150"/>
    <n v="547.5"/>
    <n v="90"/>
    <n v="830925033.75000072"/>
    <n v="830925033.75000072"/>
    <n v="2923132889.5717616"/>
    <n v="43846993343.576424"/>
    <n v="1.8950558986771008E-2"/>
    <n v="6.3168529955903354E-3"/>
    <n v="5.6851676960313013E-2"/>
  </r>
  <r>
    <s v="TUR"/>
    <s v="Turkey"/>
    <s v="Upper middle income"/>
    <x v="1"/>
    <n v="86825345"/>
    <n v="69.830379030000003"/>
    <n v="30.169620969999997"/>
    <n v="26194877.492394846"/>
    <n v="26194877.492394846"/>
    <n v="150"/>
    <n v="547.5"/>
    <n v="90"/>
    <n v="20628466025.260941"/>
    <n v="20628466025.260941"/>
    <n v="4369682103.2413588"/>
    <n v="65545231548.620384"/>
    <n v="0.31472107944205036"/>
    <n v="0.10490702648068345"/>
    <n v="0.94416323832615101"/>
  </r>
  <r>
    <s v="TKM"/>
    <s v="Turkmenistan"/>
    <s v="Upper middle income"/>
    <x v="1"/>
    <n v="6159875"/>
    <n v="41.9"/>
    <n v="58.1"/>
    <n v="3578887.3749999995"/>
    <n v="3578887.3749999995"/>
    <n v="150"/>
    <n v="547.5"/>
    <n v="90"/>
    <n v="2818373807.8124995"/>
    <n v="2818373807.8124995"/>
    <n v="8829721321.8512516"/>
    <n v="132445819827.76877"/>
    <n v="2.127944703334152E-2"/>
    <n v="7.0931490111138407E-3"/>
    <n v="6.3838341100024551E-2"/>
  </r>
  <r>
    <s v="TCA"/>
    <s v="Turks and Caicos Islands"/>
    <s v="High income: nonOECD"/>
    <x v="5"/>
    <n v="40698"/>
    <s v="N/A"/>
    <n v="26.644402312055828"/>
    <n v="10843.73885296048"/>
    <n v="10843.73885296048"/>
    <n v="150"/>
    <n v="547.5"/>
    <n v="90"/>
    <n v="8539444.3467063773"/>
    <n v="8539444.3467063773"/>
    <s v="N/A"/>
    <e v="#VALUE!"/>
    <e v="#VALUE!"/>
    <e v="#VALUE!"/>
    <e v="#VALUE!"/>
  </r>
  <r>
    <s v="TUV"/>
    <s v="Tuvalu"/>
    <s v="Upper middle income"/>
    <x v="3"/>
    <n v="10707"/>
    <n v="21"/>
    <n v="79"/>
    <n v="8458.5300000000007"/>
    <n v="8458.5300000000007"/>
    <n v="150"/>
    <n v="547.5"/>
    <n v="90"/>
    <n v="6661092.3750000009"/>
    <n v="6661092.3750000009"/>
    <n v="0"/>
    <n v="0"/>
    <e v="#DIV/0!"/>
    <e v="#DIV/0!"/>
    <e v="#DIV/0!"/>
  </r>
  <r>
    <s v="UGA"/>
    <s v="Uganda"/>
    <s v="Low income"/>
    <x v="4"/>
    <n v="63387713"/>
    <n v="16.399999999999999"/>
    <n v="83.6"/>
    <n v="52992128.067999996"/>
    <n v="52992128.067999996"/>
    <n v="150"/>
    <n v="547.5"/>
    <n v="90"/>
    <n v="41731300853.549995"/>
    <n v="41731300853.549995"/>
    <n v="2346264440.3663912"/>
    <n v="35193966605.495865"/>
    <n v="1.1857515613779455"/>
    <n v="0.39525052045931519"/>
    <n v="3.5572546841338366"/>
  </r>
  <r>
    <s v="UKR"/>
    <s v="Ukraine"/>
    <s v="Lower middle income"/>
    <x v="1"/>
    <n v="39841900"/>
    <n v="84.334518239999994"/>
    <n v="15.665481760000006"/>
    <n v="6241425.577337442"/>
    <n v="6241425.577337442"/>
    <n v="150"/>
    <n v="547.5"/>
    <n v="90"/>
    <n v="4915122642.1532354"/>
    <n v="4915122642.1532354"/>
    <n v="7490439523.5188084"/>
    <n v="112356592852.78212"/>
    <n v="4.3745743061053756E-2"/>
    <n v="1.4581914353684585E-2"/>
    <n v="0.13123722918316125"/>
  </r>
  <r>
    <s v="ARE"/>
    <s v="United Arab Emirates"/>
    <s v="High income: nonOECD"/>
    <x v="2"/>
    <n v="12330367"/>
    <n v="96.8"/>
    <n v="3.2000000000000028"/>
    <n v="394571.74400000036"/>
    <n v="394571.74400000036"/>
    <n v="150"/>
    <n v="547.5"/>
    <n v="90"/>
    <n v="310725248.40000027"/>
    <n v="310725248.40000027"/>
    <n v="62330586907.323227"/>
    <n v="934958803609.84839"/>
    <n v="3.323411119295302E-4"/>
    <n v="1.1078037064317675E-4"/>
    <n v="9.970233357885906E-4"/>
  </r>
  <r>
    <s v="GBR"/>
    <s v="United Kingdom"/>
    <s v="High income: OECD"/>
    <x v="1"/>
    <n v="68630898"/>
    <n v="90"/>
    <n v="10"/>
    <n v="6863089.8000000007"/>
    <n v="6863089.8000000007"/>
    <n v="150"/>
    <n v="547.5"/>
    <n v="90"/>
    <n v="5404683217.500001"/>
    <n v="5404683217.500001"/>
    <n v="35339743590.988991"/>
    <n v="530096153864.83484"/>
    <n v="1.0195665782698924E-2"/>
    <n v="3.3985552608996419E-3"/>
    <n v="3.0586997348096775E-2"/>
  </r>
  <r>
    <s v="USA"/>
    <s v="United States"/>
    <s v="High income: OECD"/>
    <x v="6"/>
    <n v="362628830"/>
    <s v="N/A"/>
    <s v="N/A"/>
    <e v="#VALUE!"/>
    <n v="0"/>
    <n v="150"/>
    <n v="547.5"/>
    <n v="90"/>
    <e v="#VALUE!"/>
    <n v="0"/>
    <n v="183742824092.28073"/>
    <n v="2756142361384.2109"/>
    <e v="#VALUE!"/>
    <e v="#VALUE!"/>
    <e v="#VALUE!"/>
  </r>
  <r>
    <s v="URY"/>
    <s v="Uruguay"/>
    <s v="High income: nonOECD"/>
    <x v="5"/>
    <n v="3581432"/>
    <n v="85.4"/>
    <n v="14.599999999999994"/>
    <n v="522889.07199999975"/>
    <n v="522889.07199999975"/>
    <n v="150"/>
    <n v="547.5"/>
    <n v="90"/>
    <n v="411775144.19999981"/>
    <n v="411775144.19999981"/>
    <n v="1344798564.3950837"/>
    <n v="20171978465.926254"/>
    <n v="2.0413225450124035E-2"/>
    <n v="6.8044084833746785E-3"/>
    <n v="6.1239676350372106E-2"/>
  </r>
  <r>
    <s v="UZB"/>
    <s v="Uzbekistan"/>
    <s v="Lower middle income"/>
    <x v="1"/>
    <n v="34146873"/>
    <s v="N/A"/>
    <n v="14.792992315545245"/>
    <n v="5051344.2988889944"/>
    <n v="5051344.2988889944"/>
    <n v="150"/>
    <n v="547.5"/>
    <n v="90"/>
    <n v="3977933635.375083"/>
    <n v="3977933635.375083"/>
    <n v="10682101144.876232"/>
    <n v="160231517173.14349"/>
    <n v="2.4826162203011499E-2"/>
    <n v="8.2753874010038329E-3"/>
    <n v="7.4478486609034486E-2"/>
  </r>
  <r>
    <s v="VUT"/>
    <s v="Vanuatu"/>
    <s v="Lower middle income"/>
    <x v="3"/>
    <n v="352225"/>
    <n v="75.8"/>
    <n v="24.200000000000003"/>
    <n v="85238.450000000012"/>
    <n v="85238.450000000012"/>
    <n v="150"/>
    <n v="547.5"/>
    <n v="90"/>
    <n v="67125279.375000015"/>
    <n v="67125279.375000015"/>
    <n v="7861829.9212791082"/>
    <n v="117927448.81918663"/>
    <n v="0.5692082720955024"/>
    <n v="0.18973609069850081"/>
    <n v="1.7076248162865073"/>
  </r>
  <r>
    <s v="VEN"/>
    <s v="Venezuela, RB"/>
    <s v="Upper middle income"/>
    <x v="5"/>
    <n v="37172167"/>
    <n v="35.195724574351381"/>
    <n v="64.804275425648626"/>
    <n v="24089153.48436207"/>
    <n v="24089153.48436207"/>
    <n v="150"/>
    <n v="547.5"/>
    <n v="90"/>
    <n v="18970208368.935131"/>
    <n v="18970208368.935131"/>
    <n v="80589397008.56813"/>
    <n v="1208840955128.522"/>
    <n v="1.5692890192422582E-2"/>
    <n v="5.230963397474195E-3"/>
    <n v="4.7078670577267751E-2"/>
  </r>
  <r>
    <s v="VNM"/>
    <s v="Vietnam"/>
    <s v="Lower middle income"/>
    <x v="3"/>
    <n v="101830324"/>
    <n v="46.2"/>
    <n v="53.8"/>
    <n v="54784714.311999992"/>
    <n v="54784714.311999992"/>
    <n v="150"/>
    <n v="547.5"/>
    <n v="90"/>
    <n v="43142962520.699997"/>
    <n v="43142962520.699997"/>
    <n v="13594414917.099127"/>
    <n v="203916223756.48691"/>
    <n v="0.21157199621458539"/>
    <n v="7.0523998738195134E-2"/>
    <n v="0.63471598864375622"/>
  </r>
  <r>
    <s v="VIR"/>
    <s v="Virgin Islands (U.S.)"/>
    <s v="High income: nonOECD"/>
    <x v="5"/>
    <n v="104912"/>
    <s v="N/A"/>
    <n v="26.644402312055828"/>
    <n v="27953.175353624007"/>
    <n v="27953.175353624007"/>
    <n v="150"/>
    <n v="547.5"/>
    <n v="90"/>
    <n v="22013125.590978906"/>
    <n v="22013125.590978906"/>
    <s v="N/A"/>
    <e v="#VALUE!"/>
    <e v="#VALUE!"/>
    <e v="#VALUE!"/>
    <e v="#VALUE!"/>
  </r>
  <r>
    <s v="WBG"/>
    <s v="West Bank and Gaza"/>
    <s v="Lower middle income"/>
    <x v="2"/>
    <s v="N/A"/>
    <n v="93.616933810000006"/>
    <n v="6.3830661899999939"/>
    <e v="#VALUE!"/>
    <n v="0"/>
    <n v="150"/>
    <n v="547.5"/>
    <n v="90"/>
    <e v="#VALUE!"/>
    <n v="0"/>
    <s v="N/A"/>
    <e v="#VALUE!"/>
    <e v="#VALUE!"/>
    <e v="#VALUE!"/>
    <e v="#VALUE!"/>
  </r>
  <r>
    <s v="YEM"/>
    <s v="Yemen, Rep."/>
    <s v="Lower middle income"/>
    <x v="2"/>
    <n v="33991041"/>
    <s v="N/A"/>
    <n v="14.937753881111108"/>
    <n v="5077498.0462075677"/>
    <n v="5077498.0462075677"/>
    <n v="150"/>
    <n v="547.5"/>
    <n v="90"/>
    <n v="3998529711.3884597"/>
    <n v="3998529711.3884597"/>
    <n v="6972508226.6016922"/>
    <n v="104587623399.02539"/>
    <n v="3.8231385143279971E-2"/>
    <n v="1.2743795047759989E-2"/>
    <n v="0.11469415542983991"/>
  </r>
  <r>
    <s v="ZMB"/>
    <s v="Zambia"/>
    <s v="Lower middle income"/>
    <x v="4"/>
    <n v="24956509"/>
    <n v="42.582568027210876"/>
    <n v="57.417431972789124"/>
    <n v="14329386.577857995"/>
    <n v="14329386.577857995"/>
    <n v="150"/>
    <n v="547.5"/>
    <n v="90"/>
    <n v="11284391930.063171"/>
    <n v="11284391930.063171"/>
    <n v="4492889935.3189192"/>
    <n v="67393349029.783791"/>
    <n v="0.16744073551050492"/>
    <n v="5.5813578503501639E-2"/>
    <n v="0.50232220653151483"/>
  </r>
  <r>
    <s v="ZWE"/>
    <s v="Zimbabwe"/>
    <s v="Low income"/>
    <x v="4"/>
    <n v="20292380"/>
    <n v="52.5"/>
    <n v="47.5"/>
    <n v="9638880.5"/>
    <n v="9638880.5"/>
    <n v="150"/>
    <n v="547.5"/>
    <n v="90"/>
    <n v="7590618393.75"/>
    <n v="7590618393.75"/>
    <n v="996384461.46226156"/>
    <n v="14945766921.933924"/>
    <n v="0.5078774768399642"/>
    <n v="0.16929249227998808"/>
    <n v="1.5236324305198927"/>
  </r>
  <r>
    <m/>
    <m/>
    <m/>
    <x v="7"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5">
  <r>
    <s v="Afghanistan"/>
    <s v="AFG"/>
    <s v="Low income"/>
    <x v="0"/>
    <s v="S Asia"/>
    <s v="N/A"/>
    <n v="28397812"/>
    <n v="43499632"/>
    <n v="28"/>
    <n v="31319735.039999999"/>
    <n v="31319735.039999999"/>
    <n v="96.204917330591968"/>
    <s v="N/A"/>
    <n v="3013112520.3392444"/>
    <n v="243293770.45479229"/>
    <n v="364940655.68218845"/>
    <n v="3378053176.0214329"/>
    <n v="3378053176.0214329"/>
    <n v="275432181.35267156"/>
    <n v="4131482720.2900734"/>
    <n v="0.81763700945220419"/>
    <n v="0.27254566981740136"/>
    <n v="2.4529110283566125"/>
  </r>
  <r>
    <s v="Albania"/>
    <s v="ALB"/>
    <s v="Upper middle income"/>
    <x v="1"/>
    <s v="N/A"/>
    <s v="CCA"/>
    <n v="2856673"/>
    <n v="3310564"/>
    <n v="90.1"/>
    <n v="327745.8360000003"/>
    <n v="327745.8360000003"/>
    <n v="319.34731934731934"/>
    <n v="319.34731934731934"/>
    <n v="104664754.15384625"/>
    <n v="8451155.574152315"/>
    <n v="12676733.361228472"/>
    <n v="117341487.51507472"/>
    <n v="117341487.51507472"/>
    <n v="411495291.46132761"/>
    <n v="6172429371.9199142"/>
    <n v="1.901058407389699E-2"/>
    <n v="6.3368613579656632E-3"/>
    <n v="5.7031752221690962E-2"/>
  </r>
  <r>
    <s v="Algeria"/>
    <s v="DZA"/>
    <s v="Upper middle income"/>
    <x v="2"/>
    <s v="N Africa"/>
    <s v="N/A"/>
    <n v="37062820"/>
    <n v="48561408"/>
    <n v="95.1"/>
    <n v="2379508.9920000019"/>
    <n v="2379508.9920000019"/>
    <n v="320.98224073668058"/>
    <s v="N/A"/>
    <n v="763780128.10524082"/>
    <n v="61671426.44385767"/>
    <n v="92507139.665786505"/>
    <n v="856287267.77102733"/>
    <n v="856287267.77102733"/>
    <n v="41290138275.752869"/>
    <n v="619352074136.29297"/>
    <n v="1.3825533223008066E-3"/>
    <n v="4.6085110743360219E-4"/>
    <n v="4.1476599669024198E-3"/>
  </r>
  <r>
    <s v="American Samoa"/>
    <s v="ASM"/>
    <s v="Upper middle income"/>
    <x v="3"/>
    <s v="N/A"/>
    <s v="Oceania"/>
    <n v="55636"/>
    <n v="60989"/>
    <n v="62.3"/>
    <n v="22992.852999999999"/>
    <n v="22992.852999999999"/>
    <n v="123.43837404437815"/>
    <n v="123.43837404437815"/>
    <n v="2838200.3889614022"/>
    <n v="229170.49040668842"/>
    <n v="343755.73561003263"/>
    <n v="3181956.1245714347"/>
    <n v="3181956.1245714347"/>
    <s v="N/A"/>
    <e v="#VALUE!"/>
    <e v="#VALUE!"/>
    <e v="#VALUE!"/>
    <e v="#VALUE!"/>
  </r>
  <r>
    <s v="Andorra"/>
    <s v="ADO"/>
    <s v="High income: nonOECD"/>
    <x v="1"/>
    <s v="N/A"/>
    <s v="N/A"/>
    <n v="77907"/>
    <n v="88710"/>
    <n v="100"/>
    <n v="0"/>
    <n v="0"/>
    <s v="N/A"/>
    <s v="N/A"/>
    <e v="#VALUE!"/>
    <e v="#VALUE!"/>
    <e v="#VALUE!"/>
    <e v="#VALUE!"/>
    <n v="0"/>
    <s v="N/A"/>
    <e v="#VALUE!"/>
    <e v="#VALUE!"/>
    <e v="#VALUE!"/>
    <e v="#VALUE!"/>
  </r>
  <r>
    <s v="Angola"/>
    <s v="AGO"/>
    <s v="Upper middle income"/>
    <x v="4"/>
    <s v="SSA"/>
    <s v="N/A"/>
    <n v="19549124"/>
    <n v="34783312"/>
    <n v="57.2"/>
    <n v="14887257.535999998"/>
    <n v="14887257.535999998"/>
    <n v="80.480089318943058"/>
    <s v="N/A"/>
    <n v="1198127816.2113881"/>
    <n v="96742830.519988537"/>
    <n v="145114245.77998281"/>
    <n v="1343242061.9913709"/>
    <n v="1343242061.9913709"/>
    <n v="38084701465.664787"/>
    <n v="571270521984.9718"/>
    <n v="2.3513239530092663E-3"/>
    <n v="7.8377465100308878E-4"/>
    <n v="7.0539718590277986E-3"/>
  </r>
  <r>
    <s v="Antigua and Barbuda"/>
    <s v="ATG"/>
    <s v="High income: nonOECD"/>
    <x v="5"/>
    <s v="LAC"/>
    <s v="N/A"/>
    <n v="87233"/>
    <n v="104982"/>
    <n v="91.4"/>
    <n v="9028.4519999999957"/>
    <n v="9028.4519999999957"/>
    <n v="271.17101589161985"/>
    <n v="271.17101589161985"/>
    <n v="2448254.5007687258"/>
    <n v="197684.30966457076"/>
    <n v="296526.46449685615"/>
    <n v="2744780.9652655818"/>
    <n v="2744780.9652655818"/>
    <n v="0"/>
    <n v="0"/>
    <e v="#DIV/0!"/>
    <e v="#DIV/0!"/>
    <e v="#DIV/0!"/>
  </r>
  <r>
    <s v="Argentina"/>
    <s v="ARG"/>
    <s v="Upper middle income"/>
    <x v="5"/>
    <s v="LAC"/>
    <s v="N/A"/>
    <n v="40374224"/>
    <n v="46859381"/>
    <n v="96.4"/>
    <n v="1686937.7159999963"/>
    <n v="1686937.7159999963"/>
    <n v="303.49932705248989"/>
    <s v="N/A"/>
    <n v="511984461.58546317"/>
    <n v="41340185.350718223"/>
    <n v="62010278.026077338"/>
    <n v="573994739.61154056"/>
    <n v="573994739.61154056"/>
    <n v="23990886710.821796"/>
    <n v="359863300662.32697"/>
    <n v="1.5950354997442237E-3"/>
    <n v="5.3167849991474128E-4"/>
    <n v="4.7851064992326716E-3"/>
  </r>
  <r>
    <s v="Armenia"/>
    <s v="ARM"/>
    <s v="Lower middle income"/>
    <x v="1"/>
    <s v="CCA"/>
    <s v="N/A"/>
    <n v="2963496"/>
    <n v="2969807"/>
    <n v="90.2"/>
    <n v="291041.08599999995"/>
    <n v="291041.08599999995"/>
    <n v="198.92473118279571"/>
    <s v="N/A"/>
    <n v="57895269.795698918"/>
    <n v="4674753.5596537087"/>
    <n v="7012130.3394805631"/>
    <n v="64907400.135179482"/>
    <n v="64907400.135179482"/>
    <n v="346885961.37184739"/>
    <n v="5203289420.5777111"/>
    <n v="1.2474301329172065E-2"/>
    <n v="4.1581004430573552E-3"/>
    <n v="3.7422903987516194E-2"/>
  </r>
  <r>
    <s v="Aruba"/>
    <s v="ABW"/>
    <s v="High income: nonOECD"/>
    <x v="5"/>
    <s v="LAC"/>
    <s v="N/A"/>
    <n v="101597"/>
    <n v="107734"/>
    <n v="97.7"/>
    <n v="2477.8820000000023"/>
    <n v="2477.8820000000023"/>
    <n v="271.17101589161985"/>
    <n v="271.17101589161985"/>
    <n v="671929.77919955936"/>
    <n v="54254.97002146842"/>
    <n v="81382.455032202619"/>
    <n v="753312.23423176201"/>
    <n v="753312.23423176201"/>
    <n v="93353.484085037111"/>
    <n v="1400302.2612755566"/>
    <n v="0.53796402038625468"/>
    <n v="0.17932134012875156"/>
    <n v="1.6138920611587637"/>
  </r>
  <r>
    <s v="Australia"/>
    <s v="AUS"/>
    <s v="High income: OECD"/>
    <x v="3"/>
    <s v="N/A"/>
    <s v="N/A"/>
    <n v="22031800"/>
    <n v="28335501"/>
    <n v="100"/>
    <n v="0"/>
    <n v="0"/>
    <s v="N/A"/>
    <s v="N/A"/>
    <e v="#VALUE!"/>
    <e v="#VALUE!"/>
    <e v="#VALUE!"/>
    <e v="#VALUE!"/>
    <n v="0"/>
    <n v="111498672067.56895"/>
    <n v="1672480081013.5344"/>
    <e v="#VALUE!"/>
    <e v="#VALUE!"/>
    <e v="#VALUE!"/>
  </r>
  <r>
    <s v="Austria"/>
    <s v="AUT"/>
    <s v="High income: OECD"/>
    <x v="1"/>
    <s v="N/A"/>
    <s v="N/A"/>
    <n v="8389771"/>
    <n v="9005424"/>
    <n v="100"/>
    <n v="0"/>
    <n v="0"/>
    <s v="N/A"/>
    <s v="N/A"/>
    <e v="#VALUE!"/>
    <e v="#VALUE!"/>
    <e v="#VALUE!"/>
    <e v="#VALUE!"/>
    <n v="0"/>
    <n v="1711085863.7734871"/>
    <n v="25666287956.602306"/>
    <e v="#VALUE!"/>
    <e v="#VALUE!"/>
    <e v="#VALUE!"/>
  </r>
  <r>
    <s v="Azerbaijan"/>
    <s v="AZE"/>
    <s v="Upper middle income"/>
    <x v="1"/>
    <s v="CCA"/>
    <s v="N/A"/>
    <n v="9054332"/>
    <n v="10474377"/>
    <n v="82"/>
    <n v="1885387.8600000006"/>
    <n v="1885387.8600000006"/>
    <n v="234.11371237458195"/>
    <s v="N/A"/>
    <n v="441395151.1705687"/>
    <n v="35640451.481267571"/>
    <n v="53460677.221901357"/>
    <n v="494855828.39247006"/>
    <n v="494855828.39247006"/>
    <n v="24407648660.104939"/>
    <n v="366114729901.5741"/>
    <n v="1.3516414063031734E-3"/>
    <n v="4.5054713543439111E-4"/>
    <n v="4.0549242189095195E-3"/>
  </r>
  <r>
    <s v="Bahamas, The"/>
    <s v="BHS"/>
    <s v="High income: nonOECD"/>
    <x v="5"/>
    <s v="LAC"/>
    <s v="N/A"/>
    <n v="360498"/>
    <n v="447410"/>
    <n v="91.4"/>
    <n v="38477.259999999987"/>
    <n v="38477.259999999987"/>
    <n v="271.17101589161985"/>
    <n v="271.17101589161985"/>
    <n v="10433917.682925986"/>
    <n v="842486.68330785877"/>
    <n v="1263730.0249617882"/>
    <n v="11697647.707887774"/>
    <n v="11697647.707887774"/>
    <n v="2651920.615148271"/>
    <n v="39778809.227224067"/>
    <n v="0.29406731712527145"/>
    <n v="9.8022439041757156E-2"/>
    <n v="0.88220195137581436"/>
  </r>
  <r>
    <s v="Bahrain"/>
    <s v="BHR"/>
    <s v="High income: nonOECD"/>
    <x v="2"/>
    <s v="N/A"/>
    <s v="N/A"/>
    <n v="1251513"/>
    <n v="1641988"/>
    <n v="99.2"/>
    <n v="13135.904000000011"/>
    <n v="13135.904000000011"/>
    <s v="N/A"/>
    <s v="N/A"/>
    <e v="#VALUE!"/>
    <e v="#VALUE!"/>
    <e v="#VALUE!"/>
    <e v="#VALUE!"/>
    <n v="0"/>
    <n v="5828990079.2173672"/>
    <n v="87434851188.260513"/>
    <e v="#VALUE!"/>
    <e v="#VALUE!"/>
    <e v="#VALUE!"/>
  </r>
  <r>
    <s v="Bangladesh"/>
    <s v="BGD"/>
    <s v="Low income"/>
    <x v="0"/>
    <s v="S Asia"/>
    <s v="N/A"/>
    <n v="151125475"/>
    <n v="185063630"/>
    <n v="55"/>
    <n v="83278633.499999985"/>
    <n v="83278633.499999985"/>
    <n v="62.281632701732626"/>
    <s v="N/A"/>
    <n v="5186729263.5492048"/>
    <n v="418802454.38528055"/>
    <n v="628203681.57792079"/>
    <n v="5814932945.1271257"/>
    <n v="5814932945.1271257"/>
    <n v="5122872663.1918049"/>
    <n v="76843089947.877075"/>
    <n v="7.5672815201359211E-2"/>
    <n v="2.5224271733786406E-2"/>
    <n v="0.22701844560407766"/>
  </r>
  <r>
    <s v="Barbados"/>
    <s v="BRB"/>
    <s v="High income: nonOECD"/>
    <x v="5"/>
    <s v="LAC"/>
    <s v="N/A"/>
    <n v="280396"/>
    <n v="305709"/>
    <s v="N/A"/>
    <e v="#VALUE!"/>
    <n v="0"/>
    <n v="375"/>
    <s v="N/A"/>
    <e v="#VALUE!"/>
    <e v="#VALUE!"/>
    <e v="#VALUE!"/>
    <e v="#VALUE!"/>
    <n v="0"/>
    <n v="1055471.7325739102"/>
    <n v="15832075.988608653"/>
    <e v="#VALUE!"/>
    <e v="#VALUE!"/>
    <e v="#VALUE!"/>
  </r>
  <r>
    <s v="Belarus"/>
    <s v="BLR"/>
    <s v="Upper middle income"/>
    <x v="1"/>
    <s v="N/A"/>
    <s v="SE Asia"/>
    <n v="9490000"/>
    <n v="8488334"/>
    <n v="94.4"/>
    <n v="475346.7039999995"/>
    <n v="475346.7039999995"/>
    <n v="76.733547934264351"/>
    <n v="76.733547934264351"/>
    <n v="36475039.096778527"/>
    <n v="2945177.0318693821"/>
    <n v="4417765.5478040725"/>
    <n v="40892804.644582599"/>
    <n v="40892804.644582599"/>
    <n v="1379214938.7502549"/>
    <n v="20688224081.253822"/>
    <n v="1.9766222796105885E-3"/>
    <n v="6.5887409320352947E-4"/>
    <n v="5.9298668388317651E-3"/>
  </r>
  <r>
    <s v="Belgium"/>
    <s v="BEL"/>
    <s v="High income: OECD"/>
    <x v="1"/>
    <s v="N/A"/>
    <s v="N/A"/>
    <n v="10920272"/>
    <n v="11664194"/>
    <n v="100"/>
    <n v="0"/>
    <n v="0"/>
    <s v="N/A"/>
    <s v="N/A"/>
    <e v="#VALUE!"/>
    <e v="#VALUE!"/>
    <e v="#VALUE!"/>
    <e v="#VALUE!"/>
    <n v="0"/>
    <n v="306181202.30001646"/>
    <n v="4592718034.500247"/>
    <e v="#VALUE!"/>
    <e v="#VALUE!"/>
    <e v="#VALUE!"/>
  </r>
  <r>
    <s v="Belize"/>
    <s v="BLZ"/>
    <s v="Upper middle income"/>
    <x v="5"/>
    <s v="LAC"/>
    <s v="N/A"/>
    <n v="308595"/>
    <n v="461277"/>
    <n v="89.2"/>
    <n v="49817.91599999999"/>
    <n v="49817.91599999999"/>
    <n v="193.54838709677421"/>
    <s v="N/A"/>
    <n v="9642177.2903225794"/>
    <n v="778557.60530709662"/>
    <n v="1167836.4079606449"/>
    <n v="10810013.698283225"/>
    <n v="10810013.698283225"/>
    <n v="14107420.288951172"/>
    <n v="211611304.33426759"/>
    <n v="5.1084292175655237E-2"/>
    <n v="1.7028097391885079E-2"/>
    <n v="0.15325287652696573"/>
  </r>
  <r>
    <s v="Benin"/>
    <s v="BEN"/>
    <s v="Low income"/>
    <x v="4"/>
    <s v="SSA"/>
    <s v="N/A"/>
    <n v="9509798"/>
    <n v="15506762"/>
    <n v="13.7"/>
    <n v="13382335.606000001"/>
    <n v="13382335.606000001"/>
    <n v="133.76540586485339"/>
    <s v="N/A"/>
    <n v="1790093553.7562687"/>
    <n v="144541103.99804991"/>
    <n v="216811655.99707487"/>
    <n v="2006905209.7533436"/>
    <n v="2006905209.7533436"/>
    <n v="358790876.29676551"/>
    <n v="5381863144.4514828"/>
    <n v="0.37290156882238717"/>
    <n v="0.12430052294079572"/>
    <n v="1.1187047064671616"/>
  </r>
  <r>
    <s v="Bermuda"/>
    <s v="BMU"/>
    <s v="High income: nonOECD"/>
    <x v="6"/>
    <s v="N/A"/>
    <s v="N/A"/>
    <n v="65124"/>
    <n v="66524"/>
    <s v="N/A"/>
    <e v="#VALUE!"/>
    <n v="0"/>
    <s v="N/A"/>
    <s v="N/A"/>
    <e v="#VALUE!"/>
    <e v="#VALUE!"/>
    <e v="#VALUE!"/>
    <e v="#VALUE!"/>
    <n v="0"/>
    <n v="0"/>
    <n v="0"/>
    <e v="#VALUE!"/>
    <e v="#VALUE!"/>
    <e v="#VALUE!"/>
  </r>
  <r>
    <s v="Bhutan"/>
    <s v="BTN"/>
    <s v="Lower middle income"/>
    <x v="0"/>
    <s v="S Asia"/>
    <s v="N/A"/>
    <n v="716939"/>
    <n v="897761"/>
    <n v="44.9"/>
    <n v="494666.31099999993"/>
    <n v="494666.31099999993"/>
    <n v="53.452115812917597"/>
    <s v="N/A"/>
    <n v="26440960.944320709"/>
    <n v="2134975.3914491753"/>
    <n v="3202463.0871737632"/>
    <n v="29643424.031494472"/>
    <n v="29643424.031494472"/>
    <n v="384755041.17597884"/>
    <n v="5771325617.6396828"/>
    <n v="5.1363284616780707E-3"/>
    <n v="1.7121094872260235E-3"/>
    <n v="1.5408985385034213E-2"/>
  </r>
  <r>
    <s v="Bolivia"/>
    <s v="BOL"/>
    <s v="Lower middle income"/>
    <x v="5"/>
    <s v="LAC"/>
    <s v="N/A"/>
    <n v="10156601"/>
    <n v="13665316"/>
    <n v="45.4"/>
    <n v="7461262.5360000003"/>
    <n v="7461262.5360000003"/>
    <n v="313.00415546321193"/>
    <s v="N/A"/>
    <n v="2335406178.7699828"/>
    <n v="188572371.90478227"/>
    <n v="282858557.85717344"/>
    <n v="2618264736.6271563"/>
    <n v="2618264736.6271563"/>
    <n v="3943593093.8863621"/>
    <n v="59153896408.295433"/>
    <n v="4.4261915031855524E-2"/>
    <n v="1.4753971677285175E-2"/>
    <n v="0.13278574509556657"/>
  </r>
  <r>
    <s v="Bosnia and Herzegovina"/>
    <s v="BIH"/>
    <s v="Upper middle income"/>
    <x v="1"/>
    <s v="N/A"/>
    <s v="SE Asia"/>
    <n v="3845929"/>
    <n v="3700255"/>
    <n v="95.4"/>
    <n v="170211.72999999975"/>
    <n v="170211.72999999975"/>
    <n v="76.733547934264351"/>
    <n v="76.733547934264351"/>
    <n v="13060949.942929043"/>
    <n v="1054606.4031418054"/>
    <n v="1581909.6047127082"/>
    <n v="14642859.54764175"/>
    <n v="14642859.54764175"/>
    <n v="595625627.44246328"/>
    <n v="8934384411.6369495"/>
    <n v="1.6389332351280483E-3"/>
    <n v="5.4631107837601603E-4"/>
    <n v="4.9167997053841447E-3"/>
  </r>
  <r>
    <s v="Botswana"/>
    <s v="BWA"/>
    <s v="Upper middle income"/>
    <x v="4"/>
    <s v="SSA"/>
    <s v="N/A"/>
    <n v="1969341"/>
    <n v="2347860"/>
    <n v="63.8"/>
    <n v="849925.32"/>
    <n v="849925.32"/>
    <n v="139.14027149321268"/>
    <s v="N/A"/>
    <n v="118258839.77375565"/>
    <n v="9548810.0175318997"/>
    <n v="14323215.026297849"/>
    <n v="132582054.80005351"/>
    <n v="132582054.80005351"/>
    <n v="686157389.38852191"/>
    <n v="10292360840.827829"/>
    <n v="1.2881597997820463E-2"/>
    <n v="4.2938659992734877E-3"/>
    <n v="3.8644793993461393E-2"/>
  </r>
  <r>
    <s v="Brazil"/>
    <s v="BRA"/>
    <s v="Upper middle income"/>
    <x v="5"/>
    <s v="LAC"/>
    <s v="N/A"/>
    <n v="195210154"/>
    <n v="222748294"/>
    <n v="80.3"/>
    <n v="43881413.918000013"/>
    <n v="43881413.918000013"/>
    <n v="255.31556920229659"/>
    <s v="N/A"/>
    <n v="11203608171.875753"/>
    <n v="904635341.83810771"/>
    <n v="1356953012.7571616"/>
    <n v="12560561184.632915"/>
    <n v="12560561184.632915"/>
    <n v="131651047125.59688"/>
    <n v="1974765706883.9531"/>
    <n v="6.3605323613061078E-3"/>
    <n v="2.1201774537687027E-3"/>
    <n v="1.9081597083918322E-2"/>
  </r>
  <r>
    <s v="Brunei Darussalam"/>
    <s v="BRN"/>
    <s v="High income: nonOECD"/>
    <x v="3"/>
    <s v="N/A"/>
    <s v="N/A"/>
    <n v="400569"/>
    <n v="499424"/>
    <s v="N/A"/>
    <e v="#VALUE!"/>
    <n v="0"/>
    <s v="N/A"/>
    <s v="N/A"/>
    <e v="#VALUE!"/>
    <e v="#VALUE!"/>
    <e v="#VALUE!"/>
    <e v="#VALUE!"/>
    <n v="0"/>
    <n v="5618749657.8090668"/>
    <n v="84281244867.136002"/>
    <e v="#VALUE!"/>
    <e v="#VALUE!"/>
    <e v="#VALUE!"/>
  </r>
  <r>
    <s v="Bulgaria"/>
    <s v="BGR"/>
    <s v="Upper middle income"/>
    <x v="1"/>
    <s v="N/A"/>
    <s v="N/A"/>
    <n v="7395599"/>
    <n v="6213179"/>
    <n v="100"/>
    <n v="0"/>
    <n v="0"/>
    <s v="N/A"/>
    <s v="N/A"/>
    <e v="#VALUE!"/>
    <e v="#VALUE!"/>
    <e v="#VALUE!"/>
    <e v="#VALUE!"/>
    <n v="0"/>
    <n v="1236205124.2998753"/>
    <n v="18543076864.498131"/>
    <e v="#VALUE!"/>
    <e v="#VALUE!"/>
    <e v="#VALUE!"/>
  </r>
  <r>
    <s v="Burkina Faso"/>
    <s v="BFA"/>
    <s v="Low income"/>
    <x v="4"/>
    <s v="SSA"/>
    <s v="N/A"/>
    <n v="15540284"/>
    <n v="26564341"/>
    <n v="17.399999999999999"/>
    <n v="21942145.666000001"/>
    <n v="21942145.666000001"/>
    <n v="116.17619954537076"/>
    <s v="N/A"/>
    <n v="2549155093.3468084"/>
    <n v="205831528.01228803"/>
    <n v="308747292.01843202"/>
    <n v="2857902385.3652406"/>
    <n v="2857902385.3652406"/>
    <n v="1409883719.9157445"/>
    <n v="21148255798.736168"/>
    <n v="0.13513655275230926"/>
    <n v="4.5045517584103092E-2"/>
    <n v="0.40540965825692782"/>
  </r>
  <r>
    <s v="Burundi"/>
    <s v="BDI"/>
    <s v="Low income"/>
    <x v="4"/>
    <s v="SSA"/>
    <s v="N/A"/>
    <n v="9232753"/>
    <n v="16392402.999999998"/>
    <n v="46.9"/>
    <n v="8704365.9929999989"/>
    <n v="8704365.9929999989"/>
    <n v="60.545088714102796"/>
    <s v="N/A"/>
    <n v="527006611.24620444"/>
    <n v="42553148.825074777"/>
    <n v="63829723.237612166"/>
    <n v="590836334.48381662"/>
    <n v="590836334.48381662"/>
    <n v="551752484.64932442"/>
    <n v="8276287269.7398663"/>
    <n v="7.1389055892738154E-2"/>
    <n v="2.3796351964246055E-2"/>
    <n v="0.21416716767821448"/>
  </r>
  <r>
    <s v="Cabo Verde"/>
    <s v="CPV"/>
    <s v="Lower middle income"/>
    <x v="4"/>
    <s v="SSA"/>
    <s v="N/A"/>
    <n v="487601"/>
    <n v="576734"/>
    <n v="61.6"/>
    <n v="221465.856"/>
    <n v="221465.856"/>
    <n v="133.83254909236055"/>
    <n v="133.83254909236055"/>
    <n v="29639340.045401651"/>
    <n v="2393228.5119659561"/>
    <n v="3589842.7679489343"/>
    <n v="33229182.813350584"/>
    <n v="33229182.813350584"/>
    <n v="9544520.9551698435"/>
    <n v="143167814.32754764"/>
    <n v="0.23209953277156925"/>
    <n v="7.7366510923856421E-2"/>
    <n v="0.69629859831470775"/>
  </r>
  <r>
    <s v="Cambodia"/>
    <s v="KHM"/>
    <s v="Low income"/>
    <x v="3"/>
    <s v="SE Asia"/>
    <s v="N/A"/>
    <n v="14364931"/>
    <n v="19143612"/>
    <n v="33.299999999999997"/>
    <n v="12768789.204"/>
    <n v="12768789.204"/>
    <n v="167.67869535045108"/>
    <s v="N/A"/>
    <n v="2141053914.9316447"/>
    <n v="172879398.36115563"/>
    <n v="259319097.54173341"/>
    <n v="2400373012.4733782"/>
    <n v="2400373012.4733782"/>
    <n v="433167180.30280077"/>
    <n v="6497507704.5420113"/>
    <n v="0.36942980626178001"/>
    <n v="0.12314326875392667"/>
    <n v="1.10828941878534"/>
  </r>
  <r>
    <s v="Cameroon"/>
    <s v="CMR"/>
    <s v="Lower middle income"/>
    <x v="4"/>
    <s v="SSA"/>
    <s v="N/A"/>
    <n v="20624343"/>
    <n v="33074214.999999996"/>
    <n v="44.7"/>
    <n v="18290040.894999996"/>
    <n v="18290040.894999996"/>
    <n v="64.653784219001608"/>
    <s v="N/A"/>
    <n v="1182520357.3820448"/>
    <n v="95482606.256813198"/>
    <n v="143223909.38521981"/>
    <n v="1325744266.7672646"/>
    <n v="1325744266.7672646"/>
    <n v="2416929494.6420951"/>
    <n v="36253942419.631424"/>
    <n v="3.6568278600491659E-2"/>
    <n v="1.2189426200163887E-2"/>
    <n v="0.10970483580147498"/>
  </r>
  <r>
    <s v="Canada"/>
    <s v="CAN"/>
    <s v="High income: OECD"/>
    <x v="6"/>
    <s v="N/A"/>
    <s v="N/A"/>
    <n v="34005274"/>
    <n v="40616997"/>
    <n v="99.8"/>
    <n v="81233.994000000079"/>
    <n v="81233.994000000079"/>
    <s v="N/A"/>
    <s v="N/A"/>
    <e v="#VALUE!"/>
    <e v="#VALUE!"/>
    <e v="#VALUE!"/>
    <e v="#VALUE!"/>
    <n v="0"/>
    <n v="66550602359.385544"/>
    <n v="998259035390.7832"/>
    <e v="#VALUE!"/>
    <e v="#VALUE!"/>
    <e v="#VALUE!"/>
  </r>
  <r>
    <s v="Cayman Islands"/>
    <s v="CYM"/>
    <s v="High income: nonOECD"/>
    <x v="5"/>
    <s v="LAC"/>
    <s v="N/A"/>
    <n v="55509"/>
    <n v="66552"/>
    <n v="96.2"/>
    <n v="2528.9759999999947"/>
    <n v="2528.9759999999947"/>
    <n v="271.17101589161985"/>
    <n v="271.17101589161985"/>
    <n v="685784.99108552374"/>
    <n v="55373.709105200614"/>
    <n v="83060.563657800929"/>
    <n v="768845.55474332464"/>
    <n v="768845.55474332464"/>
    <s v="N/A"/>
    <e v="#VALUE!"/>
    <e v="#VALUE!"/>
    <e v="#VALUE!"/>
    <e v="#VALUE!"/>
  </r>
  <r>
    <s v="Central African Republic"/>
    <s v="CAF"/>
    <s v="Low income"/>
    <x v="4"/>
    <s v="SSA"/>
    <s v="N/A"/>
    <n v="4349921"/>
    <n v="6318381"/>
    <n v="20.7"/>
    <n v="5010476.1330000004"/>
    <n v="5010476.1330000004"/>
    <n v="133.83254909236055"/>
    <n v="133.83254909236055"/>
    <n v="670564793.04582345"/>
    <n v="54144754.214485012"/>
    <n v="81217131.321727514"/>
    <n v="751781924.36755097"/>
    <n v="751781924.36755097"/>
    <n v="165997754.82625589"/>
    <n v="2489966322.3938384"/>
    <n v="0.30192453512575723"/>
    <n v="0.10064151170858575"/>
    <n v="0.9057736053772717"/>
  </r>
  <r>
    <s v="Chad"/>
    <s v="TCD"/>
    <s v="Low income"/>
    <x v="4"/>
    <s v="SSA"/>
    <s v="N/A"/>
    <n v="11720781"/>
    <n v="20877527"/>
    <n v="11.5"/>
    <n v="18476611.395"/>
    <n v="18476611.395"/>
    <n v="307.6461512086405"/>
    <s v="N/A"/>
    <n v="5684258383.0494604"/>
    <n v="458975443.13932866"/>
    <n v="688463164.70899296"/>
    <n v="6372721547.7584534"/>
    <n v="6372721547.7584534"/>
    <n v="3554600897.019742"/>
    <n v="53319013455.296127"/>
    <n v="0.11952062003363"/>
    <n v="3.9840206677876668E-2"/>
    <n v="0.35856186010088997"/>
  </r>
  <r>
    <s v="Channel Islands"/>
    <s v="CHI"/>
    <s v="High income: nonOECD"/>
    <x v="1"/>
    <s v="N/A"/>
    <s v="N/A"/>
    <n v="159518"/>
    <n v="173587"/>
    <s v="N/A"/>
    <e v="#VALUE!"/>
    <n v="0"/>
    <s v="N/A"/>
    <s v="N/A"/>
    <e v="#VALUE!"/>
    <e v="#VALUE!"/>
    <e v="#VALUE!"/>
    <e v="#VALUE!"/>
    <n v="0"/>
    <s v="N/A"/>
    <e v="#VALUE!"/>
    <e v="#VALUE!"/>
    <e v="#VALUE!"/>
    <e v="#VALUE!"/>
  </r>
  <r>
    <s v="Chile"/>
    <s v="CHL"/>
    <s v="High income: OECD"/>
    <x v="5"/>
    <s v="LAC"/>
    <s v="N/A"/>
    <n v="17150760"/>
    <n v="19814578"/>
    <n v="97.8"/>
    <n v="435920.71600000036"/>
    <n v="435920.71600000036"/>
    <n v="272.58566978193147"/>
    <s v="N/A"/>
    <n v="118825740.34267923"/>
    <n v="9594584.4039696343"/>
    <n v="14391876.605954451"/>
    <n v="133217616.94863369"/>
    <n v="133217616.94863369"/>
    <n v="42609019124.162964"/>
    <n v="639135286862.44446"/>
    <n v="2.0843414483122562E-4"/>
    <n v="6.947804827707521E-5"/>
    <n v="6.2530243449367693E-4"/>
  </r>
  <r>
    <s v="China"/>
    <s v="CHN"/>
    <s v="Upper middle income"/>
    <x v="3"/>
    <s v="E Asia"/>
    <s v="N/A"/>
    <n v="1337705000"/>
    <n v="1453297304"/>
    <n v="64.8"/>
    <n v="511560651.00799996"/>
    <n v="511560651.00799996"/>
    <n v="118.46244228777692"/>
    <s v="N/A"/>
    <n v="60600724096.732788"/>
    <n v="4893205467.1906891"/>
    <n v="7339808200.7860336"/>
    <n v="67940532297.518822"/>
    <n v="67940532297.518822"/>
    <n v="412412144329.84637"/>
    <n v="6186182164947.6953"/>
    <n v="1.098262716582858E-2"/>
    <n v="3.6608757219428602E-3"/>
    <n v="3.2947881497485738E-2"/>
  </r>
  <r>
    <s v="Colombia"/>
    <s v="COL"/>
    <s v="Upper middle income"/>
    <x v="5"/>
    <s v="LAC"/>
    <s v="N/A"/>
    <n v="46444798"/>
    <n v="57219408"/>
    <n v="79.3"/>
    <n v="11844417.456000004"/>
    <n v="11844417.456000004"/>
    <n v="357.18483690861007"/>
    <s v="N/A"/>
    <n v="4230646317.2988558"/>
    <n v="341603536.8902961"/>
    <n v="512405305.33544415"/>
    <n v="4743051622.6343002"/>
    <n v="4743051622.6343002"/>
    <n v="27613795592.874363"/>
    <n v="414206933893.11542"/>
    <n v="1.1450922798550318E-2"/>
    <n v="3.8169742661834398E-3"/>
    <n v="3.4352768395650955E-2"/>
  </r>
  <r>
    <s v="Comoros"/>
    <s v="COM"/>
    <s v="Low income"/>
    <x v="4"/>
    <s v="SSA"/>
    <s v="N/A"/>
    <n v="683081"/>
    <n v="1057197"/>
    <n v="35.4"/>
    <n v="682949.26199999999"/>
    <n v="682949.26199999999"/>
    <n v="63.339731285988485"/>
    <s v="N/A"/>
    <n v="43257822.737044148"/>
    <n v="3492852.8969026296"/>
    <n v="5239279.3453539452"/>
    <n v="48497102.082398094"/>
    <n v="48497102.082398094"/>
    <n v="15685686.317566991"/>
    <n v="235285294.76350486"/>
    <n v="0.20612041279989288"/>
    <n v="6.870680426663095E-2"/>
    <n v="0.6183612383996786"/>
  </r>
  <r>
    <s v="Congo, Dem. Rep."/>
    <s v="ZAR"/>
    <s v="Low income"/>
    <x v="4"/>
    <s v="SSA"/>
    <s v="N/A"/>
    <n v="62191161"/>
    <n v="103743184"/>
    <n v="30"/>
    <n v="72620228.799999997"/>
    <n v="72620228.799999997"/>
    <n v="133.83254909236055"/>
    <n v="133.83254909236055"/>
    <n v="9718950335.9744549"/>
    <n v="784756644.87825727"/>
    <n v="1177134967.3173859"/>
    <n v="10896085303.291842"/>
    <n v="10896085303.291842"/>
    <n v="7681552331.5239582"/>
    <n v="115223284972.85937"/>
    <n v="9.4564959728915848E-2"/>
    <n v="3.1521653242971952E-2"/>
    <n v="0.28369487918674757"/>
  </r>
  <r>
    <s v="Congo, Rep."/>
    <s v="COG"/>
    <s v="Lower middle income"/>
    <x v="4"/>
    <s v="SSA"/>
    <s v="N/A"/>
    <n v="4111715"/>
    <n v="6753771"/>
    <n v="14.3"/>
    <n v="5787981.7469999995"/>
    <n v="5787981.7469999995"/>
    <n v="133.83254909236055"/>
    <n v="133.83254909236055"/>
    <n v="774620351.30106425"/>
    <n v="62546720.265804432"/>
    <n v="93820080.39870666"/>
    <n v="868440431.69977093"/>
    <n v="868440431.69977093"/>
    <n v="7999753757.4398327"/>
    <n v="119996306361.59749"/>
    <n v="7.2372263616415659E-3"/>
    <n v="2.4124087872138553E-3"/>
    <n v="2.17116790849247E-2"/>
  </r>
  <r>
    <s v="Costa Rica"/>
    <s v="CRI"/>
    <s v="Upper middle income"/>
    <x v="5"/>
    <s v="LAC"/>
    <s v="N/A"/>
    <n v="4669685"/>
    <n v="5759573"/>
    <n v="93.5"/>
    <n v="374372.2449999997"/>
    <n v="374372.2449999997"/>
    <n v="218.04511278195488"/>
    <s v="N/A"/>
    <n v="81630038.383458585"/>
    <n v="6591217.4492723634"/>
    <n v="9886826.1739085447"/>
    <n v="91516864.557367131"/>
    <n v="91516864.557367131"/>
    <n v="447691904.68022686"/>
    <n v="6715378570.2034025"/>
    <n v="1.362795315269846E-2"/>
    <n v="4.5426510508994869E-3"/>
    <n v="4.0883859458095376E-2"/>
  </r>
  <r>
    <s v="Cote d'Ivoire"/>
    <s v="CIV"/>
    <s v="Lower middle income"/>
    <x v="4"/>
    <s v="SSA"/>
    <s v="N/A"/>
    <n v="18976588"/>
    <n v="29227188"/>
    <n v="21.1"/>
    <n v="23060251.331999999"/>
    <n v="23060251.331999999"/>
    <n v="133.83254909236055"/>
    <n v="133.83254909236055"/>
    <n v="3086212218.4720626"/>
    <n v="249196205.58052668"/>
    <n v="373794308.37079"/>
    <n v="3460006526.8428526"/>
    <n v="3460006526.8428526"/>
    <n v="1791544935.1129889"/>
    <n v="26873174026.694836"/>
    <n v="0.12875317680768961"/>
    <n v="4.2917725602563211E-2"/>
    <n v="0.38625953042306882"/>
  </r>
  <r>
    <s v="Croatia"/>
    <s v="HRV"/>
    <s v="High income: nonOECD"/>
    <x v="1"/>
    <s v="N/A"/>
    <s v="SE Asia"/>
    <n v="4417781"/>
    <n v="4015138"/>
    <n v="98.2"/>
    <n v="72272.484000000069"/>
    <n v="72272.484000000069"/>
    <n v="76.733547934264351"/>
    <n v="76.733547934264351"/>
    <n v="5545724.1153423591"/>
    <n v="447789.49369331874"/>
    <n v="671684.24053997814"/>
    <n v="6217408.3558823373"/>
    <n v="6217408.3558823373"/>
    <n v="918544973.75403845"/>
    <n v="13778174606.310577"/>
    <n v="4.5125051275186234E-4"/>
    <n v="1.5041683758395413E-4"/>
    <n v="1.3537515382555868E-3"/>
  </r>
  <r>
    <s v="Cuba"/>
    <s v="CUB"/>
    <s v="Upper middle income"/>
    <x v="5"/>
    <s v="LAC"/>
    <s v="N/A"/>
    <n v="11281768"/>
    <n v="10847333"/>
    <n v="91.6"/>
    <n v="911175.97200000077"/>
    <n v="911175.97200000077"/>
    <n v="247.02380952380952"/>
    <s v="N/A"/>
    <n v="225082159.75000018"/>
    <n v="18174258.989013765"/>
    <n v="27261388.483520646"/>
    <n v="252343548.23352084"/>
    <n v="252343548.23352084"/>
    <n v="3082852547.1150317"/>
    <n v="46242788206.725479"/>
    <n v="5.4569276209175547E-3"/>
    <n v="1.8189758736391849E-3"/>
    <n v="1.6370782862752665E-2"/>
  </r>
  <r>
    <s v="Curacao"/>
    <s v="CUW"/>
    <s v="High income: nonOECD"/>
    <x v="5"/>
    <s v="LAC"/>
    <s v="N/A"/>
    <n v="149311"/>
    <n v="178776"/>
    <s v="N/A"/>
    <e v="#VALUE!"/>
    <n v="0"/>
    <s v="N/A"/>
    <s v="N/A"/>
    <e v="#VALUE!"/>
    <e v="#VALUE!"/>
    <e v="#VALUE!"/>
    <e v="#VALUE!"/>
    <n v="0"/>
    <s v="N/A"/>
    <e v="#VALUE!"/>
    <e v="#VALUE!"/>
    <e v="#VALUE!"/>
    <e v="#VALUE!"/>
  </r>
  <r>
    <s v="Cyprus"/>
    <s v="CYP"/>
    <s v="High income: nonOECD"/>
    <x v="1"/>
    <s v="N/A"/>
    <s v="N/A"/>
    <n v="1103685"/>
    <n v="1306312"/>
    <n v="100"/>
    <n v="0"/>
    <n v="0"/>
    <s v="N/A"/>
    <s v="N/A"/>
    <e v="#VALUE!"/>
    <e v="#VALUE!"/>
    <e v="#VALUE!"/>
    <e v="#VALUE!"/>
    <n v="0"/>
    <n v="2097439.0563930012"/>
    <n v="31461585.845895018"/>
    <e v="#VALUE!"/>
    <e v="#VALUE!"/>
    <e v="#VALUE!"/>
  </r>
  <r>
    <s v="Czech Republic"/>
    <s v="CZE"/>
    <s v="High income: OECD"/>
    <x v="1"/>
    <s v="N/A"/>
    <s v="N/A"/>
    <n v="10474410"/>
    <n v="11053125"/>
    <n v="100"/>
    <n v="0"/>
    <n v="0"/>
    <s v="N/A"/>
    <s v="N/A"/>
    <e v="#VALUE!"/>
    <e v="#VALUE!"/>
    <e v="#VALUE!"/>
    <e v="#VALUE!"/>
    <n v="0"/>
    <n v="1366868039.2637777"/>
    <n v="20503020588.956665"/>
    <e v="#VALUE!"/>
    <e v="#VALUE!"/>
    <e v="#VALUE!"/>
  </r>
  <r>
    <s v="Denmark"/>
    <s v="DNK"/>
    <s v="High income: OECD"/>
    <x v="1"/>
    <s v="N/A"/>
    <s v="N/A"/>
    <n v="5547683"/>
    <n v="6009458"/>
    <n v="100"/>
    <n v="0"/>
    <n v="0"/>
    <s v="N/A"/>
    <s v="N/A"/>
    <e v="#VALUE!"/>
    <e v="#VALUE!"/>
    <e v="#VALUE!"/>
    <e v="#VALUE!"/>
    <n v="0"/>
    <n v="6826937316.8512735"/>
    <n v="102404059752.7691"/>
    <e v="#VALUE!"/>
    <e v="#VALUE!"/>
    <e v="#VALUE!"/>
  </r>
  <r>
    <s v="Djibouti"/>
    <s v="DJI"/>
    <s v="Lower middle income"/>
    <x v="2"/>
    <s v="N/A"/>
    <s v="N/A"/>
    <n v="834036"/>
    <n v="1075146"/>
    <n v="61.4"/>
    <n v="415006.35600000003"/>
    <n v="415006.35600000003"/>
    <n v="123.07692307692308"/>
    <s v="N/A"/>
    <n v="51077705.353846155"/>
    <n v="4124269.3187963078"/>
    <n v="6186403.9781944621"/>
    <n v="57264109.332040615"/>
    <n v="57264109.332040615"/>
    <s v="N/A"/>
    <e v="#VALUE!"/>
    <e v="#VALUE!"/>
    <e v="#VALUE!"/>
    <e v="#VALUE!"/>
  </r>
  <r>
    <s v="Dominica"/>
    <s v="DMA"/>
    <s v="Upper middle income"/>
    <x v="5"/>
    <s v="LAC"/>
    <s v="N/A"/>
    <n v="71167"/>
    <n v="76952"/>
    <s v="N/A"/>
    <e v="#VALUE!"/>
    <n v="0"/>
    <s v="N/A"/>
    <s v="N/A"/>
    <e v="#VALUE!"/>
    <e v="#VALUE!"/>
    <e v="#VALUE!"/>
    <e v="#VALUE!"/>
    <n v="0"/>
    <n v="491062.11491866165"/>
    <n v="7365931.7237799251"/>
    <e v="#VALUE!"/>
    <e v="#VALUE!"/>
    <e v="#VALUE!"/>
  </r>
  <r>
    <s v="Dominican Republic"/>
    <s v="DOM"/>
    <s v="Upper middle income"/>
    <x v="5"/>
    <s v="LAC"/>
    <s v="N/A"/>
    <n v="10016797"/>
    <n v="12218615"/>
    <n v="81.400000000000006"/>
    <n v="2272662.3899999992"/>
    <n v="2272662.3899999992"/>
    <n v="271.17101589161985"/>
    <n v="271.17101589161985"/>
    <n v="616280169.07497656"/>
    <n v="49761542.251958981"/>
    <n v="74642313.377938464"/>
    <n v="690922482.45291507"/>
    <n v="690922482.45291507"/>
    <n v="129924258.050329"/>
    <n v="1948863870.754935"/>
    <n v="0.35452577926095535"/>
    <n v="0.11817525975365178"/>
    <n v="1.0635773377828659"/>
  </r>
  <r>
    <s v="Ecuador"/>
    <s v="ECU"/>
    <s v="Upper middle income"/>
    <x v="5"/>
    <s v="LAC"/>
    <s v="N/A"/>
    <n v="15001072"/>
    <n v="19648546"/>
    <n v="81"/>
    <n v="3733223.7399999988"/>
    <n v="3733223.7399999988"/>
    <n v="228.76498176133404"/>
    <s v="N/A"/>
    <n v="854030860.79207897"/>
    <n v="68958721.854656413"/>
    <n v="103438082.78198463"/>
    <n v="957468943.57406354"/>
    <n v="957468943.57406354"/>
    <n v="12579420182.430964"/>
    <n v="188691302736.46445"/>
    <n v="5.0742611328054256E-3"/>
    <n v="1.6914203776018084E-3"/>
    <n v="1.5222783398416278E-2"/>
  </r>
  <r>
    <s v="Egypt, Arab Rep."/>
    <s v="EGY"/>
    <s v="Lower middle income"/>
    <x v="2"/>
    <s v="N Africa"/>
    <s v="N/A"/>
    <n v="78075705"/>
    <n v="102552797"/>
    <n v="94.9"/>
    <n v="5230192.6469999934"/>
    <n v="5230192.6469999934"/>
    <n v="206.60459986375579"/>
    <n v="206.60459986375579"/>
    <n v="1080581859.0437913"/>
    <n v="87251582.208490923"/>
    <n v="130877373.31273639"/>
    <n v="1211459232.3565278"/>
    <n v="1211459232.3565278"/>
    <n v="26385352958.727764"/>
    <n v="395780294380.91644"/>
    <n v="3.0609387318070108E-3"/>
    <n v="1.020312910602337E-3"/>
    <n v="9.1828161954210334E-3"/>
  </r>
  <r>
    <s v="El Salvador"/>
    <s v="SLV"/>
    <s v="Lower middle income"/>
    <x v="5"/>
    <s v="LAC"/>
    <s v="N/A"/>
    <n v="6218195"/>
    <n v="6874758"/>
    <n v="70.2"/>
    <n v="2048677.8839999996"/>
    <n v="2048677.8839999996"/>
    <n v="207.10059171597632"/>
    <s v="N/A"/>
    <n v="424282402.0118342"/>
    <n v="34258682.550445549"/>
    <n v="51388023.82566832"/>
    <n v="475670425.83750254"/>
    <n v="475670425.83750254"/>
    <n v="390192552.90387428"/>
    <n v="5852888293.5581141"/>
    <n v="8.1271058318512834E-2"/>
    <n v="2.7090352772837608E-2"/>
    <n v="0.2438131749555385"/>
  </r>
  <r>
    <s v="Equatorial Guinea"/>
    <s v="GNQ"/>
    <s v="High income: nonOECD"/>
    <x v="4"/>
    <s v="SSA"/>
    <s v="N/A"/>
    <n v="696167"/>
    <n v="1138788"/>
    <s v="N/A"/>
    <e v="#VALUE!"/>
    <n v="0"/>
    <n v="164.44444444444446"/>
    <s v="N/A"/>
    <e v="#VALUE!"/>
    <e v="#VALUE!"/>
    <e v="#VALUE!"/>
    <e v="#VALUE!"/>
    <n v="0"/>
    <n v="6226958917.0209513"/>
    <n v="93404383755.31427"/>
    <e v="#VALUE!"/>
    <e v="#VALUE!"/>
    <e v="#VALUE!"/>
  </r>
  <r>
    <s v="Eritrea"/>
    <s v="ERI"/>
    <s v="Low income"/>
    <x v="4"/>
    <s v="SSA"/>
    <s v="N/A"/>
    <n v="5741159"/>
    <n v="9782455"/>
    <s v="N/A"/>
    <e v="#VALUE!"/>
    <n v="0"/>
    <n v="66.603415559772301"/>
    <s v="N/A"/>
    <e v="#VALUE!"/>
    <e v="#VALUE!"/>
    <e v="#VALUE!"/>
    <e v="#VALUE!"/>
    <n v="0"/>
    <n v="76822965.242555067"/>
    <n v="1152344478.6383259"/>
    <e v="#VALUE!"/>
    <e v="#VALUE!"/>
    <e v="#VALUE!"/>
  </r>
  <r>
    <s v="Estonia"/>
    <s v="EST"/>
    <s v="High income: OECD"/>
    <x v="1"/>
    <s v="N/A"/>
    <s v="SE Asia"/>
    <n v="1331475"/>
    <n v="1212150"/>
    <n v="95.2"/>
    <n v="58183.199999999917"/>
    <n v="58183.199999999917"/>
    <n v="76.733547934264351"/>
    <n v="76.733547934264351"/>
    <n v="4464603.3661688836"/>
    <n v="360494.3988013065"/>
    <n v="540741.59820195974"/>
    <n v="5005344.964370843"/>
    <n v="5005344.964370843"/>
    <n v="524357312.05145437"/>
    <n v="7865359680.7718153"/>
    <n v="6.3637839431644099E-4"/>
    <n v="2.121261314388137E-4"/>
    <n v="1.9091351829493232E-3"/>
  </r>
  <r>
    <s v="Ethiopia"/>
    <s v="ETH"/>
    <s v="Low income"/>
    <x v="4"/>
    <s v="SSA"/>
    <s v="N/A"/>
    <n v="87095281"/>
    <n v="137669707"/>
    <n v="21.1"/>
    <n v="108621398.82299998"/>
    <n v="108621398.82299998"/>
    <n v="48.420735522443401"/>
    <s v="N/A"/>
    <n v="5259528024.4863272"/>
    <n v="424680590.33714849"/>
    <n v="637020885.50572264"/>
    <n v="5896548909.9920502"/>
    <n v="5896548909.9920502"/>
    <n v="5463318403.1045046"/>
    <n v="81949776046.567566"/>
    <n v="7.1953203467467253E-2"/>
    <n v="2.3984401155822416E-2"/>
    <n v="0.21585961040240176"/>
  </r>
  <r>
    <s v="Faeroe Islands"/>
    <s v="FRO"/>
    <s v="High income: nonOECD"/>
    <x v="1"/>
    <s v="N/A"/>
    <s v="N/A"/>
    <n v="49581"/>
    <n v="51875"/>
    <s v="N/A"/>
    <e v="#VALUE!"/>
    <n v="0"/>
    <s v="N/A"/>
    <s v="N/A"/>
    <e v="#VALUE!"/>
    <e v="#VALUE!"/>
    <e v="#VALUE!"/>
    <e v="#VALUE!"/>
    <n v="0"/>
    <s v="N/A"/>
    <e v="#VALUE!"/>
    <e v="#VALUE!"/>
    <e v="#VALUE!"/>
    <e v="#VALUE!"/>
  </r>
  <r>
    <s v="Fiji"/>
    <s v="FJI"/>
    <s v="Upper middle income"/>
    <x v="3"/>
    <s v="Oceania"/>
    <s v="N/A"/>
    <n v="860559"/>
    <n v="939469"/>
    <n v="87.1"/>
    <n v="121191.501"/>
    <n v="121191.501"/>
    <n v="190.1840490797546"/>
    <s v="N/A"/>
    <n v="23048690.37423313"/>
    <n v="1861066.5042674541"/>
    <n v="2791599.7564011812"/>
    <n v="25840290.130634312"/>
    <n v="25840290.130634312"/>
    <n v="87317583.851148248"/>
    <n v="1309763757.7672238"/>
    <n v="1.9728970188245768E-2"/>
    <n v="6.5763233960819227E-3"/>
    <n v="5.9186910564737308E-2"/>
  </r>
  <r>
    <s v="Finland"/>
    <s v="FIN"/>
    <s v="High income: OECD"/>
    <x v="1"/>
    <s v="N/A"/>
    <s v="N/A"/>
    <n v="5363352"/>
    <n v="5649744"/>
    <n v="100"/>
    <n v="0"/>
    <n v="0"/>
    <s v="N/A"/>
    <s v="N/A"/>
    <e v="#VALUE!"/>
    <e v="#VALUE!"/>
    <e v="#VALUE!"/>
    <e v="#VALUE!"/>
    <n v="0"/>
    <n v="3328745232.5822215"/>
    <n v="49931178488.733322"/>
    <e v="#VALUE!"/>
    <e v="#VALUE!"/>
    <e v="#VALUE!"/>
  </r>
  <r>
    <s v="France"/>
    <s v="FRA"/>
    <s v="High income: OECD"/>
    <x v="1"/>
    <s v="N/A"/>
    <s v="N/A"/>
    <n v="65023142"/>
    <n v="69286370"/>
    <n v="100"/>
    <n v="0"/>
    <n v="0"/>
    <s v="N/A"/>
    <s v="N/A"/>
    <e v="#VALUE!"/>
    <e v="#VALUE!"/>
    <e v="#VALUE!"/>
    <e v="#VALUE!"/>
    <n v="0"/>
    <n v="4406730484.3344297"/>
    <n v="66100957265.016449"/>
    <e v="#VALUE!"/>
    <e v="#VALUE!"/>
    <e v="#VALUE!"/>
  </r>
  <r>
    <s v="French Polynesia"/>
    <s v="PYF"/>
    <s v="High income: nonOECD"/>
    <x v="3"/>
    <s v="Oceania"/>
    <s v="N/A"/>
    <n v="268065"/>
    <n v="318041"/>
    <n v="97.1"/>
    <n v="9223.1890000000076"/>
    <n v="9223.1890000000076"/>
    <n v="227.27272727272728"/>
    <s v="N/A"/>
    <n v="2096179.31818182"/>
    <n v="169255.99904659105"/>
    <n v="253883.99856988658"/>
    <n v="2350063.3167517064"/>
    <n v="2350063.3167517064"/>
    <s v="N/A"/>
    <e v="#VALUE!"/>
    <e v="#VALUE!"/>
    <e v="#VALUE!"/>
    <e v="#VALUE!"/>
  </r>
  <r>
    <s v="Gabon"/>
    <s v="GAB"/>
    <s v="Upper middle income"/>
    <x v="4"/>
    <s v="SSA"/>
    <s v="N/A"/>
    <n v="1556222"/>
    <n v="2382369"/>
    <n v="40.9"/>
    <n v="1407980.0789999999"/>
    <n v="1407980.0789999999"/>
    <n v="92.173913043478265"/>
    <s v="N/A"/>
    <n v="129779033.36869565"/>
    <n v="10479008.04935533"/>
    <n v="15718512.074032994"/>
    <n v="145497545.44272864"/>
    <n v="145497545.44272864"/>
    <n v="6654882999.5966587"/>
    <n v="99823244993.949875"/>
    <n v="1.4575517501113795E-3"/>
    <n v="4.8585058337045987E-4"/>
    <n v="4.3726552503341384E-3"/>
  </r>
  <r>
    <s v="Gambia, The"/>
    <s v="GMB"/>
    <s v="Low income"/>
    <x v="4"/>
    <s v="SSA"/>
    <s v="N/A"/>
    <n v="1680640"/>
    <n v="3056357"/>
    <n v="60.2"/>
    <n v="1216430.0860000001"/>
    <n v="1216430.0860000001"/>
    <n v="133.83254909236055"/>
    <n v="133.83254909236055"/>
    <n v="162797939.20201939"/>
    <n v="13145119.600867055"/>
    <n v="19717679.401300583"/>
    <n v="182515618.60331997"/>
    <n v="182515618.60331997"/>
    <n v="45972784.152787477"/>
    <n v="689591762.29181218"/>
    <n v="0.26467198215469034"/>
    <n v="8.8223994051563448E-2"/>
    <n v="0.79401594646407092"/>
  </r>
  <r>
    <s v="Georgia"/>
    <s v="GEO"/>
    <s v="Lower middle income"/>
    <x v="1"/>
    <s v="CCA"/>
    <s v="N/A"/>
    <n v="4452800"/>
    <n v="3953077"/>
    <n v="93.6"/>
    <n v="252996.92800000022"/>
    <n v="252996.92800000022"/>
    <n v="194.44444444444446"/>
    <s v="N/A"/>
    <n v="49193847.111111157"/>
    <n v="3972157.18498667"/>
    <n v="5958235.7774800053"/>
    <n v="55152082.888591163"/>
    <n v="55152082.888591163"/>
    <n v="123856542.27513833"/>
    <n v="1857848134.127075"/>
    <n v="2.9686001711062792E-2"/>
    <n v="9.8953339036875979E-3"/>
    <n v="8.9058005133188373E-2"/>
  </r>
  <r>
    <s v="Germany"/>
    <s v="DEU"/>
    <s v="High income: OECD"/>
    <x v="1"/>
    <s v="N/A"/>
    <s v="N/A"/>
    <n v="81776930"/>
    <n v="79551501"/>
    <n v="100"/>
    <n v="0"/>
    <n v="0"/>
    <s v="N/A"/>
    <s v="N/A"/>
    <e v="#VALUE!"/>
    <e v="#VALUE!"/>
    <e v="#VALUE!"/>
    <e v="#VALUE!"/>
    <n v="0"/>
    <n v="6763891296.0023947"/>
    <n v="101458369440.03592"/>
    <e v="#VALUE!"/>
    <e v="#VALUE!"/>
    <e v="#VALUE!"/>
  </r>
  <r>
    <s v="Ghana"/>
    <s v="GHA"/>
    <s v="Lower middle income"/>
    <x v="4"/>
    <s v="SSA"/>
    <s v="N/A"/>
    <n v="24262901"/>
    <n v="35264291"/>
    <n v="13.7"/>
    <n v="30433083.133000001"/>
    <n v="30433083.133000001"/>
    <n v="184.48370831744418"/>
    <s v="N/A"/>
    <n v="5614408031.9089022"/>
    <n v="453335376.5364843"/>
    <n v="680003064.80472648"/>
    <n v="6294411096.7136288"/>
    <n v="6294411096.7136288"/>
    <n v="4194607406.4218354"/>
    <n v="62919111096.32753"/>
    <n v="0.10003973335028603"/>
    <n v="3.3346577783428671E-2"/>
    <n v="0.30011920005085807"/>
  </r>
  <r>
    <s v="Greece"/>
    <s v="GRC"/>
    <s v="High income: OECD"/>
    <x v="1"/>
    <s v="N/A"/>
    <s v="SE Asia"/>
    <n v="11153454"/>
    <n v="10975530"/>
    <n v="98.6"/>
    <n v="153657.42000000013"/>
    <n v="153657.42000000013"/>
    <n v="76.733547934264351"/>
    <n v="76.733547934264351"/>
    <n v="11790679.0030254"/>
    <n v="952038.3760992859"/>
    <n v="1428057.564148929"/>
    <n v="13218736.567174328"/>
    <n v="13218736.567174328"/>
    <n v="629296452.81922984"/>
    <n v="9439446792.2884483"/>
    <n v="1.4003719559045949E-3"/>
    <n v="4.6679065196819831E-4"/>
    <n v="4.2011158677137846E-3"/>
  </r>
  <r>
    <s v="Greenland"/>
    <s v="GRL"/>
    <s v="High income: nonOECD"/>
    <x v="1"/>
    <s v="N/A"/>
    <s v="N/A"/>
    <n v="56905"/>
    <n v="54649"/>
    <n v="100"/>
    <n v="0"/>
    <n v="0"/>
    <s v="N/A"/>
    <s v="N/A"/>
    <e v="#VALUE!"/>
    <e v="#VALUE!"/>
    <e v="#VALUE!"/>
    <e v="#VALUE!"/>
    <n v="0"/>
    <s v="N/A"/>
    <e v="#VALUE!"/>
    <e v="#VALUE!"/>
    <e v="#VALUE!"/>
    <e v="#VALUE!"/>
  </r>
  <r>
    <s v="Grenada"/>
    <s v="GRD"/>
    <s v="Upper middle income"/>
    <x v="5"/>
    <s v="LAC"/>
    <s v="N/A"/>
    <n v="104677"/>
    <n v="107433"/>
    <n v="98"/>
    <n v="2148.6600000000021"/>
    <n v="2148.6600000000021"/>
    <n v="142.85714285714286"/>
    <s v="N/A"/>
    <n v="306951.42857142887"/>
    <n v="24784.793100000024"/>
    <n v="37177.189650000037"/>
    <n v="344128.61822142889"/>
    <n v="344128.61822142889"/>
    <n v="0"/>
    <n v="0"/>
    <e v="#DIV/0!"/>
    <e v="#DIV/0!"/>
    <e v="#DIV/0!"/>
  </r>
  <r>
    <s v="Guam"/>
    <s v="GUM"/>
    <s v="High income: nonOECD"/>
    <x v="3"/>
    <s v="Oceania"/>
    <s v="N/A"/>
    <n v="159440"/>
    <n v="200008"/>
    <n v="89.7"/>
    <n v="20600.823999999997"/>
    <n v="20600.823999999997"/>
    <n v="307.69230769230768"/>
    <s v="N/A"/>
    <n v="6338715.0769230761"/>
    <n v="511819.54888615379"/>
    <n v="767729.32332923065"/>
    <n v="7106444.4002523068"/>
    <n v="7106444.4002523068"/>
    <s v="N/A"/>
    <e v="#VALUE!"/>
    <e v="#VALUE!"/>
    <e v="#VALUE!"/>
    <e v="#VALUE!"/>
  </r>
  <r>
    <s v="Guatemala"/>
    <s v="GTM"/>
    <s v="Lower middle income"/>
    <x v="5"/>
    <s v="LAC"/>
    <s v="N/A"/>
    <n v="14341576"/>
    <n v="22566243"/>
    <n v="79.400000000000006"/>
    <n v="4648646.0579999993"/>
    <n v="4648646.0579999993"/>
    <n v="183.48809043197417"/>
    <s v="N/A"/>
    <n v="852971188.27654409"/>
    <n v="68873158.597389549"/>
    <n v="103309737.89608432"/>
    <n v="956280926.1726284"/>
    <n v="956280926.1726284"/>
    <n v="1835017152.9300125"/>
    <n v="27525257293.950188"/>
    <n v="3.4741943225461168E-2"/>
    <n v="1.1580647741820391E-2"/>
    <n v="0.10422582967638351"/>
  </r>
  <r>
    <s v="Guinea"/>
    <s v="GIN"/>
    <s v="Low income"/>
    <x v="4"/>
    <s v="SSA"/>
    <s v="N/A"/>
    <n v="10876033"/>
    <n v="17322136"/>
    <n v="17.899999999999999"/>
    <n v="14221473.655999999"/>
    <n v="14221473.655999999"/>
    <n v="96.066794085102103"/>
    <s v="N/A"/>
    <n v="1366211381.2976561"/>
    <n v="110314737.98287924"/>
    <n v="165472106.97431886"/>
    <n v="1531683488.271975"/>
    <n v="1531683488.271975"/>
    <n v="1333953226.6564479"/>
    <n v="20009298399.846718"/>
    <n v="7.6548585445839951E-2"/>
    <n v="2.5516195148613315E-2"/>
    <n v="0.22964575633751988"/>
  </r>
  <r>
    <s v="Guinea-Bissau"/>
    <s v="GNB"/>
    <s v="Low income"/>
    <x v="4"/>
    <s v="SSA"/>
    <s v="N/A"/>
    <n v="1586624"/>
    <n v="2472642"/>
    <n v="18.399999999999999"/>
    <n v="2017675.8720000002"/>
    <n v="2017675.8720000002"/>
    <n v="58.939096267190571"/>
    <s v="N/A"/>
    <n v="118919992.45579569"/>
    <n v="9602194.7908432223"/>
    <n v="14403292.186264833"/>
    <n v="133323284.64206052"/>
    <n v="133323284.64206052"/>
    <n v="142038641.37615088"/>
    <n v="2130579620.6422632"/>
    <n v="6.2576063034842241E-2"/>
    <n v="2.0858687678280745E-2"/>
    <n v="0.18772818910452671"/>
  </r>
  <r>
    <s v="Guyana"/>
    <s v="GUY"/>
    <s v="Lower middle income"/>
    <x v="5"/>
    <s v="LAC"/>
    <s v="N/A"/>
    <n v="786126"/>
    <n v="852670"/>
    <n v="83.2"/>
    <n v="143248.55999999994"/>
    <n v="143248.55999999994"/>
    <n v="188.03418803418805"/>
    <s v="N/A"/>
    <n v="26935626.666666657"/>
    <n v="2174917.175199999"/>
    <n v="3262375.7627999983"/>
    <n v="30198002.429466654"/>
    <n v="30198002.429466654"/>
    <n v="405082963.00590253"/>
    <n v="6076244445.0885382"/>
    <n v="4.9698465396460249E-3"/>
    <n v="1.6566155132153417E-3"/>
    <n v="1.4909539618938076E-2"/>
  </r>
  <r>
    <s v="Haiti"/>
    <s v="HTI"/>
    <s v="Low income"/>
    <x v="5"/>
    <s v="LAC"/>
    <s v="N/A"/>
    <n v="9896400"/>
    <n v="12536811"/>
    <n v="23.9"/>
    <n v="9540513.1710000001"/>
    <n v="9540513.1710000001"/>
    <n v="222.59532062391682"/>
    <s v="N/A"/>
    <n v="2123673588.2154465"/>
    <n v="171476023.88045621"/>
    <n v="257214035.82068431"/>
    <n v="2380887624.0361309"/>
    <n v="2380887624.0361309"/>
    <n v="161012362.10944861"/>
    <n v="2415185431.6417294"/>
    <n v="0.98579909966487156"/>
    <n v="0.32859969988829052"/>
    <n v="2.9573972989946147"/>
  </r>
  <r>
    <s v="Honduras"/>
    <s v="HND"/>
    <s v="Lower middle income"/>
    <x v="5"/>
    <s v="LAC"/>
    <s v="N/A"/>
    <n v="7621204"/>
    <n v="10811004"/>
    <n v="77.3"/>
    <n v="2454097.9079999998"/>
    <n v="2454097.9079999998"/>
    <n v="236.54046543938867"/>
    <s v="N/A"/>
    <n v="580493461.39215004"/>
    <n v="46871944.54010915"/>
    <n v="70307916.810163721"/>
    <n v="650801378.20231378"/>
    <n v="650801378.20231378"/>
    <n v="717924436.29793561"/>
    <n v="10768866544.469034"/>
    <n v="6.0433600464346912E-2"/>
    <n v="2.0144533488115637E-2"/>
    <n v="0.18130080139304072"/>
  </r>
  <r>
    <s v="Hong Kong SAR, China"/>
    <s v="HKG"/>
    <s v="High income: nonOECD"/>
    <x v="3"/>
    <s v="N/A"/>
    <s v="N/A"/>
    <n v="7024200"/>
    <n v="7885155"/>
    <s v="N/A"/>
    <e v="#VALUE!"/>
    <n v="0"/>
    <s v="N/A"/>
    <s v="N/A"/>
    <e v="#VALUE!"/>
    <e v="#VALUE!"/>
    <e v="#VALUE!"/>
    <e v="#VALUE!"/>
    <n v="0"/>
    <n v="3134453.5797919827"/>
    <n v="47016803.696879737"/>
    <e v="#VALUE!"/>
    <e v="#VALUE!"/>
    <e v="#VALUE!"/>
  </r>
  <r>
    <s v="Hungary"/>
    <s v="HUN"/>
    <s v="Upper middle income"/>
    <x v="1"/>
    <s v="N/A"/>
    <s v="N/A"/>
    <n v="10000023"/>
    <n v="9525243"/>
    <n v="100"/>
    <n v="0"/>
    <n v="0"/>
    <s v="N/A"/>
    <s v="N/A"/>
    <e v="#VALUE!"/>
    <e v="#VALUE!"/>
    <e v="#VALUE!"/>
    <e v="#VALUE!"/>
    <n v="0"/>
    <n v="1095685098.3472166"/>
    <n v="16435276475.208248"/>
    <e v="#VALUE!"/>
    <e v="#VALUE!"/>
    <e v="#VALUE!"/>
  </r>
  <r>
    <s v="Iceland"/>
    <s v="ISL"/>
    <s v="High income: OECD"/>
    <x v="1"/>
    <s v="N/A"/>
    <s v="N/A"/>
    <n v="318041"/>
    <n v="383558"/>
    <n v="100"/>
    <n v="0"/>
    <n v="0"/>
    <s v="N/A"/>
    <s v="N/A"/>
    <e v="#VALUE!"/>
    <e v="#VALUE!"/>
    <e v="#VALUE!"/>
    <e v="#VALUE!"/>
    <n v="0"/>
    <n v="0"/>
    <n v="0"/>
    <e v="#VALUE!"/>
    <e v="#VALUE!"/>
    <e v="#VALUE!"/>
  </r>
  <r>
    <s v="India"/>
    <s v="IND"/>
    <s v="Lower middle income"/>
    <x v="0"/>
    <s v="S Asia"/>
    <s v="N/A"/>
    <n v="1205624648"/>
    <n v="1476377903"/>
    <n v="34.200000000000003"/>
    <n v="971456660.17399991"/>
    <n v="971456660.17399991"/>
    <n v="71.518998044111768"/>
    <s v="N/A"/>
    <n v="69477606978.923645"/>
    <n v="5609969375.5131893"/>
    <n v="8414954063.269783"/>
    <n v="77892561042.19342"/>
    <n v="77892561042.19342"/>
    <n v="106120979971.95012"/>
    <n v="1591814699579.2517"/>
    <n v="4.893318365685527E-2"/>
    <n v="1.6311061218951758E-2"/>
    <n v="0.1467995509705658"/>
  </r>
  <r>
    <s v="Indonesia"/>
    <s v="IDN"/>
    <s v="Lower middle income"/>
    <x v="3"/>
    <s v="SE Asia"/>
    <s v="N/A"/>
    <n v="240676485"/>
    <n v="293482460"/>
    <n v="57"/>
    <n v="126197457.80000001"/>
    <n v="126197457.80000001"/>
    <n v="63.160074549596189"/>
    <s v="N/A"/>
    <n v="7970640842.6175194"/>
    <n v="643589394.83715153"/>
    <n v="965384092.25572729"/>
    <n v="8936024934.8732471"/>
    <n v="8936024934.8732471"/>
    <n v="59899197819.567902"/>
    <n v="898487967293.51855"/>
    <n v="9.945625606752306E-3"/>
    <n v="3.3152085355841023E-3"/>
    <n v="2.9836876820256923E-2"/>
  </r>
  <r>
    <s v="Iran, Islamic Rep."/>
    <s v="IRN"/>
    <s v="Upper middle income"/>
    <x v="2"/>
    <s v="S Asia"/>
    <s v="N/A"/>
    <n v="74462314"/>
    <n v="91336270"/>
    <n v="88.4"/>
    <n v="10595007.319999998"/>
    <n v="10595007.319999998"/>
    <n v="78.105475710744329"/>
    <n v="78.105475710744329"/>
    <n v="827528086.88741827"/>
    <n v="66818755.375724584"/>
    <n v="100228133.06358688"/>
    <n v="927756219.9510051"/>
    <n v="927756219.9510051"/>
    <n v="130357567150.05748"/>
    <n v="1955363507250.8623"/>
    <n v="4.7446739008409812E-4"/>
    <n v="1.5815579669469938E-4"/>
    <n v="1.4234021702522945E-3"/>
  </r>
  <r>
    <s v="Iraq"/>
    <s v="IRQ"/>
    <s v="Upper middle income"/>
    <x v="2"/>
    <s v="W Asia"/>
    <s v="N/A"/>
    <n v="30962380"/>
    <n v="50966609"/>
    <n v="83.1"/>
    <n v="8613356.921000002"/>
    <n v="8613356.921000002"/>
    <n v="232.56713876634936"/>
    <s v="N/A"/>
    <n v="2003183774.290303"/>
    <n v="161747073.8550705"/>
    <n v="242620610.78260577"/>
    <n v="2245804385.0729089"/>
    <n v="2245804385.0729089"/>
    <n v="60551177603.513367"/>
    <n v="908267664052.70044"/>
    <n v="2.4726239565241205E-3"/>
    <n v="8.2420798550804006E-4"/>
    <n v="7.4178718695723624E-3"/>
  </r>
  <r>
    <s v="Ireland"/>
    <s v="IRL"/>
    <s v="High income: OECD"/>
    <x v="1"/>
    <s v="N/A"/>
    <s v="N/A"/>
    <n v="4560155"/>
    <n v="5346841"/>
    <n v="99"/>
    <n v="53468.410000000047"/>
    <n v="53468.410000000047"/>
    <s v="N/A"/>
    <s v="N/A"/>
    <e v="#VALUE!"/>
    <e v="#VALUE!"/>
    <e v="#VALUE!"/>
    <e v="#VALUE!"/>
    <n v="0"/>
    <n v="414476099.13160717"/>
    <n v="6217141486.9741077"/>
    <e v="#VALUE!"/>
    <e v="#VALUE!"/>
    <e v="#VALUE!"/>
  </r>
  <r>
    <s v="Isle of Man"/>
    <s v="IMY"/>
    <s v="High income: nonOECD"/>
    <x v="1"/>
    <s v="N/A"/>
    <s v="N/A"/>
    <n v="83992"/>
    <n v="94237"/>
    <s v="N/A"/>
    <e v="#VALUE!"/>
    <n v="0"/>
    <s v="N/A"/>
    <s v="N/A"/>
    <e v="#VALUE!"/>
    <e v="#VALUE!"/>
    <e v="#VALUE!"/>
    <e v="#VALUE!"/>
    <n v="0"/>
    <s v="N/A"/>
    <e v="#VALUE!"/>
    <e v="#VALUE!"/>
    <e v="#VALUE!"/>
    <e v="#VALUE!"/>
  </r>
  <r>
    <s v="Israel"/>
    <s v="ISR"/>
    <s v="High income: OECD"/>
    <x v="2"/>
    <s v="N/A"/>
    <s v="N/A"/>
    <n v="7623600"/>
    <n v="9632030"/>
    <n v="100"/>
    <n v="0"/>
    <n v="0"/>
    <s v="N/A"/>
    <s v="N/A"/>
    <e v="#VALUE!"/>
    <e v="#VALUE!"/>
    <e v="#VALUE!"/>
    <e v="#VALUE!"/>
    <n v="0"/>
    <n v="683998780.19966102"/>
    <n v="10259981702.994915"/>
    <e v="#VALUE!"/>
    <e v="#VALUE!"/>
    <e v="#VALUE!"/>
  </r>
  <r>
    <s v="Italy"/>
    <s v="ITA"/>
    <s v="High income: OECD"/>
    <x v="1"/>
    <s v="N/A"/>
    <s v="N/A"/>
    <n v="59277417"/>
    <n v="61211831"/>
    <s v="N/A"/>
    <e v="#VALUE!"/>
    <n v="0"/>
    <s v="N/A"/>
    <s v="N/A"/>
    <e v="#VALUE!"/>
    <e v="#VALUE!"/>
    <e v="#VALUE!"/>
    <e v="#VALUE!"/>
    <n v="0"/>
    <n v="3978955289.0601716"/>
    <n v="59684329335.902573"/>
    <e v="#VALUE!"/>
    <e v="#VALUE!"/>
    <e v="#VALUE!"/>
  </r>
  <r>
    <s v="Jamaica"/>
    <s v="JAM"/>
    <s v="Upper middle income"/>
    <x v="5"/>
    <s v="LAC"/>
    <s v="N/A"/>
    <n v="2690824"/>
    <n v="2949838"/>
    <n v="80.2"/>
    <n v="584067.92399999988"/>
    <n v="584067.92399999988"/>
    <n v="186.16144975288304"/>
    <s v="N/A"/>
    <n v="108730931.48599669"/>
    <n v="8779479.0628368035"/>
    <n v="13169218.594255205"/>
    <n v="121900150.0802519"/>
    <n v="121900150.0802519"/>
    <n v="244066186.95842627"/>
    <n v="3660992804.3763938"/>
    <n v="3.329701985060747E-2"/>
    <n v="1.1099006616869158E-2"/>
    <n v="9.9891059551822411E-2"/>
  </r>
  <r>
    <s v="Japan"/>
    <s v="JPN"/>
    <s v="High income: OECD"/>
    <x v="3"/>
    <s v="N/A"/>
    <s v="N/A"/>
    <n v="127450459"/>
    <n v="120624738"/>
    <n v="100"/>
    <n v="0"/>
    <n v="0"/>
    <s v="N/A"/>
    <s v="N/A"/>
    <e v="#VALUE!"/>
    <e v="#VALUE!"/>
    <e v="#VALUE!"/>
    <e v="#VALUE!"/>
    <n v="0"/>
    <n v="1629780081.2566016"/>
    <n v="24446701218.849022"/>
    <e v="#VALUE!"/>
    <e v="#VALUE!"/>
    <e v="#VALUE!"/>
  </r>
  <r>
    <s v="Jordan"/>
    <s v="JOR"/>
    <s v="Upper middle income"/>
    <x v="2"/>
    <s v="W Asia"/>
    <s v="N/A"/>
    <n v="6046000"/>
    <n v="9355173"/>
    <n v="98"/>
    <n v="187103.46000000017"/>
    <n v="187103.46000000017"/>
    <n v="281.75895765472313"/>
    <s v="N/A"/>
    <n v="52718075.86319223"/>
    <n v="4256721.0355734564"/>
    <n v="6385081.5533601847"/>
    <n v="59103157.416552417"/>
    <n v="59103157.416552417"/>
    <n v="479904568.92910677"/>
    <n v="7198568533.9366016"/>
    <n v="8.2104042127152371E-3"/>
    <n v="2.7368014042384119E-3"/>
    <n v="2.4631212638145709E-2"/>
  </r>
  <r>
    <s v="Kazakhstan"/>
    <s v="KAZ"/>
    <s v="Upper middle income"/>
    <x v="1"/>
    <s v="CCA"/>
    <s v="N/A"/>
    <n v="16321581"/>
    <n v="18572745"/>
    <n v="97.4"/>
    <n v="482891.36999999837"/>
    <n v="482891.36999999837"/>
    <n v="341.10169491525426"/>
    <s v="N/A"/>
    <n v="164715064.76694861"/>
    <n v="13299917.904607264"/>
    <n v="19949876.856910896"/>
    <n v="184664941.62385949"/>
    <n v="184664941.62385949"/>
    <n v="52080674870.849876"/>
    <n v="781210123062.74817"/>
    <n v="2.3638319086275703E-4"/>
    <n v="7.8794396954252337E-5"/>
    <n v="7.0914957258827102E-4"/>
  </r>
  <r>
    <s v="Kenya"/>
    <s v="KEN"/>
    <s v="Low income"/>
    <x v="4"/>
    <s v="SSA"/>
    <s v="N/A"/>
    <n v="40909194"/>
    <n v="66306062.999999993"/>
    <n v="29.1"/>
    <n v="47010998.666999996"/>
    <n v="47010998.666999996"/>
    <n v="149.80065130717961"/>
    <s v="N/A"/>
    <n v="7042278218.917552"/>
    <n v="568628754.78649771"/>
    <n v="852943132.17974663"/>
    <n v="7895221351.0972986"/>
    <n v="7895221351.0972986"/>
    <n v="1419333043.2990847"/>
    <n v="21289995649.486271"/>
    <n v="0.37084184896429562"/>
    <n v="0.1236139496547652"/>
    <n v="1.112525546892887"/>
  </r>
  <r>
    <s v="Kiribati"/>
    <s v="KIR"/>
    <s v="Lower middle income"/>
    <x v="3"/>
    <s v="N/A"/>
    <s v="Oceania"/>
    <n v="97743"/>
    <n v="130715"/>
    <n v="38.799999999999997"/>
    <n v="79997.580000000016"/>
    <n v="79997.580000000016"/>
    <n v="123.43837404437815"/>
    <n v="123.43837404437815"/>
    <n v="9874771.2026850674"/>
    <n v="797338.4007608057"/>
    <n v="1196007.6011412085"/>
    <n v="11070778.803826276"/>
    <n v="11070778.803826276"/>
    <n v="147463.39816805688"/>
    <n v="2211950.9725208534"/>
    <n v="5.004983809026041"/>
    <n v="1.6683279363420136"/>
    <n v="15.014951427078122"/>
  </r>
  <r>
    <s v="Korea, Dem. Rep."/>
    <s v="PRK"/>
    <s v="Low income"/>
    <x v="3"/>
    <s v="N/A"/>
    <s v="SE Asia"/>
    <n v="24500520"/>
    <n v="26718625"/>
    <n v="79.900000000000006"/>
    <n v="5370443.6249999991"/>
    <n v="5370443.6249999991"/>
    <n v="76.733547934264351"/>
    <n v="76.733547934264351"/>
    <n v="412093193.32720184"/>
    <n v="33274464.895204913"/>
    <n v="49911697.342807367"/>
    <n v="462004890.6700092"/>
    <n v="462004890.6700092"/>
    <s v="N/A"/>
    <e v="#VALUE!"/>
    <e v="#VALUE!"/>
    <e v="#VALUE!"/>
    <e v="#VALUE!"/>
  </r>
  <r>
    <s v="Korea, Rep."/>
    <s v="KOR"/>
    <s v="High income: OECD"/>
    <x v="3"/>
    <s v="E Asia"/>
    <s v="N/A"/>
    <n v="49410366"/>
    <n v="52190069"/>
    <n v="100"/>
    <n v="0"/>
    <n v="0"/>
    <n v="118.39568135600364"/>
    <s v="N/A"/>
    <n v="0"/>
    <n v="0"/>
    <n v="0"/>
    <n v="0"/>
    <n v="0"/>
    <n v="614733047.31301725"/>
    <n v="9220995709.6952591"/>
    <n v="0"/>
    <n v="0"/>
    <n v="0"/>
  </r>
  <r>
    <s v="Kosovo"/>
    <s v="KSV"/>
    <s v="Lower middle income"/>
    <x v="1"/>
    <s v="N/A"/>
    <s v="N/A"/>
    <n v="1775680"/>
    <s v="N/A"/>
    <s v="N/A"/>
    <e v="#VALUE!"/>
    <n v="0"/>
    <s v="N/A"/>
    <s v="N/A"/>
    <e v="#VALUE!"/>
    <e v="#VALUE!"/>
    <e v="#VALUE!"/>
    <e v="#VALUE!"/>
    <n v="0"/>
    <n v="177423641.54793903"/>
    <n v="2661354623.2190857"/>
    <e v="#VALUE!"/>
    <e v="#VALUE!"/>
    <e v="#VALUE!"/>
  </r>
  <r>
    <s v="Kuwait"/>
    <s v="KWT"/>
    <s v="High income: nonOECD"/>
    <x v="2"/>
    <s v="W Asia"/>
    <s v="N/A"/>
    <n v="2991580"/>
    <n v="4832793"/>
    <n v="100"/>
    <n v="0"/>
    <n v="0"/>
    <n v="373.08868501529054"/>
    <s v="N/A"/>
    <n v="0"/>
    <n v="0"/>
    <n v="0"/>
    <n v="0"/>
    <n v="0"/>
    <n v="62059401760.996567"/>
    <n v="930891026414.94849"/>
    <n v="0"/>
    <n v="0"/>
    <n v="0"/>
  </r>
  <r>
    <s v="Kyrgyz Republic"/>
    <s v="KGZ"/>
    <s v="Low income"/>
    <x v="1"/>
    <s v="CCA"/>
    <s v="N/A"/>
    <n v="5447900"/>
    <n v="6871058"/>
    <n v="91.8"/>
    <n v="563426.75600000052"/>
    <n v="563426.75600000052"/>
    <n v="319.34731934731934"/>
    <n v="319.34731934731934"/>
    <n v="179928824.17715633"/>
    <n v="14528352.908184487"/>
    <n v="21792529.362276729"/>
    <n v="201721353.53943306"/>
    <n v="201721353.53943306"/>
    <n v="577303538.49183607"/>
    <n v="8659553077.3775406"/>
    <n v="2.3294661021989183E-2"/>
    <n v="7.7648870073297269E-3"/>
    <n v="6.9883983065967548E-2"/>
  </r>
  <r>
    <s v="Lao PDR"/>
    <s v="LAO"/>
    <s v="Lower middle income"/>
    <x v="3"/>
    <s v="SE Asia"/>
    <s v="N/A"/>
    <n v="6395713"/>
    <n v="8806260"/>
    <n v="58.7"/>
    <n v="3636985.3799999994"/>
    <n v="3636985.3799999994"/>
    <n v="140.0738998992274"/>
    <s v="N/A"/>
    <n v="509446726.05307347"/>
    <n v="41135275.895155415"/>
    <n v="61702913.842733122"/>
    <n v="571149639.89580655"/>
    <n v="571149639.89580655"/>
    <n v="1331952550.8132415"/>
    <n v="19979288262.198624"/>
    <n v="2.8587086406698371E-2"/>
    <n v="9.529028802232789E-3"/>
    <n v="8.5761259220095101E-2"/>
  </r>
  <r>
    <s v="Latvia"/>
    <s v="LVA"/>
    <s v="High income: nonOECD"/>
    <x v="1"/>
    <s v="N/A"/>
    <s v="N/A"/>
    <n v="2097555"/>
    <n v="1855822"/>
    <s v="N/A"/>
    <e v="#VALUE!"/>
    <n v="0"/>
    <s v="N/A"/>
    <s v="N/A"/>
    <e v="#VALUE!"/>
    <e v="#VALUE!"/>
    <e v="#VALUE!"/>
    <e v="#VALUE!"/>
    <n v="0"/>
    <n v="581674804.62426615"/>
    <n v="8725122069.3639927"/>
    <e v="#VALUE!"/>
    <e v="#VALUE!"/>
    <e v="#VALUE!"/>
  </r>
  <r>
    <s v="Lebanon"/>
    <s v="LBN"/>
    <s v="Upper middle income"/>
    <x v="2"/>
    <s v="W Asia"/>
    <s v="N/A"/>
    <n v="4341092"/>
    <n v="5171981"/>
    <s v="N/A"/>
    <e v="#VALUE!"/>
    <n v="0"/>
    <n v="632.23140495867767"/>
    <s v="N/A"/>
    <e v="#VALUE!"/>
    <e v="#VALUE!"/>
    <e v="#VALUE!"/>
    <e v="#VALUE!"/>
    <n v="0"/>
    <n v="1265644.42328598"/>
    <n v="18984666.3492897"/>
    <e v="#VALUE!"/>
    <e v="#VALUE!"/>
    <e v="#VALUE!"/>
  </r>
  <r>
    <s v="Lesotho"/>
    <s v="LSO"/>
    <s v="Lower middle income"/>
    <x v="4"/>
    <s v="SSA"/>
    <s v="N/A"/>
    <n v="2008921"/>
    <n v="2419217"/>
    <n v="28.7"/>
    <n v="1724901.7210000001"/>
    <n v="1724901.7210000001"/>
    <n v="91.748768472906406"/>
    <s v="N/A"/>
    <n v="158257608.63854682"/>
    <n v="12778510.609519463"/>
    <n v="19167765.914279193"/>
    <n v="177425374.55282602"/>
    <n v="177425374.55282602"/>
    <n v="103261507.33429362"/>
    <n v="1548922610.0144043"/>
    <n v="0.11454760451277553"/>
    <n v="3.818253483759184E-2"/>
    <n v="0.34364281353832654"/>
  </r>
  <r>
    <s v="Liberia"/>
    <s v="LBR"/>
    <s v="Low income"/>
    <x v="4"/>
    <s v="SSA"/>
    <s v="N/A"/>
    <n v="3957990"/>
    <n v="6395182"/>
    <n v="16.3"/>
    <n v="5352767.3339999998"/>
    <n v="5352767.3339999998"/>
    <n v="58.331153544336907"/>
    <s v="N/A"/>
    <n v="312233093.24666488"/>
    <n v="25211261.114201955"/>
    <n v="37816891.67130293"/>
    <n v="350049984.9179678"/>
    <n v="350049984.9179678"/>
    <n v="414154618.30642617"/>
    <n v="6212319274.5963926"/>
    <n v="5.6347713220310972E-2"/>
    <n v="1.8782571073436991E-2"/>
    <n v="0.1690431396609329"/>
  </r>
  <r>
    <s v="Libya"/>
    <s v="LBY"/>
    <s v="Upper middle income"/>
    <x v="2"/>
    <s v="N Africa"/>
    <s v="N/A"/>
    <n v="6040612"/>
    <n v="7459411"/>
    <n v="96.6"/>
    <n v="253619.97400000022"/>
    <n v="253619.97400000022"/>
    <n v="206.60459986375579"/>
    <n v="206.60459986375579"/>
    <n v="52399053.245726191"/>
    <n v="4230961.5543261608"/>
    <n v="6346442.3314892408"/>
    <n v="58745495.577215433"/>
    <n v="58745495.577215433"/>
    <s v="N/A"/>
    <e v="#VALUE!"/>
    <e v="#VALUE!"/>
    <e v="#VALUE!"/>
    <e v="#VALUE!"/>
  </r>
  <r>
    <s v="Liechtenstein"/>
    <s v="LIE"/>
    <s v="High income: nonOECD"/>
    <x v="1"/>
    <s v="N/A"/>
    <s v="N/A"/>
    <n v="36120"/>
    <n v="41314"/>
    <s v="N/A"/>
    <e v="#VALUE!"/>
    <n v="0"/>
    <s v="N/A"/>
    <s v="N/A"/>
    <e v="#VALUE!"/>
    <e v="#VALUE!"/>
    <e v="#VALUE!"/>
    <e v="#VALUE!"/>
    <n v="0"/>
    <s v="N/A"/>
    <e v="#VALUE!"/>
    <e v="#VALUE!"/>
    <e v="#VALUE!"/>
    <e v="#VALUE!"/>
  </r>
  <r>
    <s v="Lithuania"/>
    <s v="LTU"/>
    <s v="High income: nonOECD"/>
    <x v="1"/>
    <s v="N/A"/>
    <s v="SE Asia"/>
    <n v="3097282"/>
    <n v="2816749"/>
    <n v="93.4"/>
    <n v="185905.43399999986"/>
    <n v="185905.43399999986"/>
    <n v="76.733547934264351"/>
    <n v="76.733547934264351"/>
    <n v="14265183.531079207"/>
    <n v="1151842.2442169904"/>
    <n v="1727763.3663254855"/>
    <n v="15992946.897404693"/>
    <n v="15992946.897404693"/>
    <n v="397630289.50000304"/>
    <n v="5964454342.5000458"/>
    <n v="2.6813763638772578E-3"/>
    <n v="8.9379212129241927E-4"/>
    <n v="8.0441290916317739E-3"/>
  </r>
  <r>
    <s v="Luxembourg"/>
    <s v="LUX"/>
    <s v="High income: OECD"/>
    <x v="1"/>
    <s v="N/A"/>
    <s v="N/A"/>
    <n v="506953"/>
    <n v="636826"/>
    <n v="100"/>
    <n v="0"/>
    <n v="0"/>
    <s v="N/A"/>
    <s v="N/A"/>
    <e v="#VALUE!"/>
    <e v="#VALUE!"/>
    <e v="#VALUE!"/>
    <e v="#VALUE!"/>
    <n v="0"/>
    <n v="58508352.210030153"/>
    <n v="877625283.15045226"/>
    <e v="#VALUE!"/>
    <e v="#VALUE!"/>
    <e v="#VALUE!"/>
  </r>
  <r>
    <s v="Macao SAR, China"/>
    <s v="MAC"/>
    <s v="High income: nonOECD"/>
    <x v="3"/>
    <s v="N/A"/>
    <s v="N/A"/>
    <n v="534626"/>
    <n v="701551"/>
    <s v="N/A"/>
    <e v="#VALUE!"/>
    <n v="0"/>
    <s v="N/A"/>
    <s v="N/A"/>
    <e v="#VALUE!"/>
    <e v="#VALUE!"/>
    <e v="#VALUE!"/>
    <e v="#VALUE!"/>
    <n v="0"/>
    <n v="278781.88696400158"/>
    <n v="4181728.3044600235"/>
    <e v="#VALUE!"/>
    <e v="#VALUE!"/>
    <e v="#VALUE!"/>
  </r>
  <r>
    <s v="Macedonia, FYR"/>
    <s v="MKD"/>
    <s v="Upper middle income"/>
    <x v="1"/>
    <s v="N/A"/>
    <s v="SE Asia"/>
    <n v="2102216"/>
    <n v="2068730"/>
    <n v="91.1"/>
    <n v="184116.97000000018"/>
    <n v="184116.97000000018"/>
    <n v="76.733547934264351"/>
    <n v="76.733547934264351"/>
    <n v="14127948.343006525"/>
    <n v="1140761.1889560618"/>
    <n v="1711141.7834340928"/>
    <n v="15839090.126440618"/>
    <n v="15839090.126440618"/>
    <n v="424368475.62691891"/>
    <n v="6365527134.4037838"/>
    <n v="2.4882605622455114E-3"/>
    <n v="8.2942018741517061E-4"/>
    <n v="7.464781686736535E-3"/>
  </r>
  <r>
    <s v="Madagascar"/>
    <s v="MDG"/>
    <s v="Low income"/>
    <x v="4"/>
    <s v="SSA"/>
    <s v="N/A"/>
    <n v="21079532"/>
    <n v="36000163"/>
    <n v="13.4"/>
    <n v="31176141.158"/>
    <n v="31176141.158"/>
    <n v="93.882924853149689"/>
    <s v="N/A"/>
    <n v="2926907317.5477009"/>
    <n v="236333131.35538909"/>
    <n v="354499697.03308362"/>
    <n v="3281407014.5807843"/>
    <n v="3281407014.5807843"/>
    <n v="692026009.85163426"/>
    <n v="10380390147.774513"/>
    <n v="0.31611596171886625"/>
    <n v="0.10537198723962209"/>
    <n v="0.94834788515659874"/>
  </r>
  <r>
    <s v="Malawi"/>
    <s v="MWI"/>
    <s v="Low income"/>
    <x v="4"/>
    <s v="SSA"/>
    <s v="N/A"/>
    <n v="15013694"/>
    <n v="25959551"/>
    <n v="10.3"/>
    <n v="23285717.247000001"/>
    <n v="23285717.247000001"/>
    <n v="33.840587421517505"/>
    <s v="N/A"/>
    <n v="788002350.16984141"/>
    <n v="63627249.764463842"/>
    <n v="95440874.646695763"/>
    <n v="883443224.81653714"/>
    <n v="883443224.81653714"/>
    <n v="403920728.59788555"/>
    <n v="6058810928.9682837"/>
    <n v="0.1458113209297609"/>
    <n v="4.8603773643253634E-2"/>
    <n v="0.4374339627892827"/>
  </r>
  <r>
    <s v="Malaysia"/>
    <s v="MYS"/>
    <s v="Upper middle income"/>
    <x v="3"/>
    <s v="SE Asia"/>
    <s v="N/A"/>
    <n v="28275835"/>
    <n v="36845517"/>
    <n v="95.7"/>
    <n v="1584357.2309999974"/>
    <n v="1584357.2309999974"/>
    <n v="203.22108345534406"/>
    <s v="N/A"/>
    <n v="321974793.06412828"/>
    <n v="25997854.665963039"/>
    <n v="38996781.998944558"/>
    <n v="360971575.06307286"/>
    <n v="360971575.06307286"/>
    <n v="26660491900.712803"/>
    <n v="399907378510.69202"/>
    <n v="9.0263794683503656E-4"/>
    <n v="3.0087931561167882E-4"/>
    <n v="2.7079138405051097E-3"/>
  </r>
  <r>
    <s v="Maldives"/>
    <s v="MDV"/>
    <s v="Upper middle income"/>
    <x v="0"/>
    <s v="S Asia"/>
    <s v="N/A"/>
    <n v="325694"/>
    <n v="435873"/>
    <n v="97.3"/>
    <n v="11768.571000000011"/>
    <n v="11768.571000000011"/>
    <n v="200"/>
    <s v="N/A"/>
    <n v="2353714.200000002"/>
    <n v="190050.65307900016"/>
    <n v="285075.97961850022"/>
    <n v="2638790.179618502"/>
    <n v="2638790.179618502"/>
    <n v="1158905.3361817906"/>
    <n v="17383580.042726859"/>
    <n v="0.15179785597285808"/>
    <n v="5.0599285324286029E-2"/>
    <n v="0.45539356791857427"/>
  </r>
  <r>
    <s v="Mali"/>
    <s v="MLI"/>
    <s v="Low income"/>
    <x v="4"/>
    <s v="SSA"/>
    <s v="N/A"/>
    <n v="13985961"/>
    <n v="26034111"/>
    <n v="21.3"/>
    <n v="20488845.357000001"/>
    <n v="20488845.357000001"/>
    <n v="72.725736971027956"/>
    <s v="N/A"/>
    <n v="1490066378.2732494"/>
    <n v="120315409.71367352"/>
    <n v="180473114.57051027"/>
    <n v="1670539492.8437595"/>
    <n v="1670539492.8437595"/>
    <n v="1347245165.1593575"/>
    <n v="20208677477.390362"/>
    <n v="8.2664464050790712E-2"/>
    <n v="2.7554821350263572E-2"/>
    <n v="0.24799339215237215"/>
  </r>
  <r>
    <s v="Malta"/>
    <s v="MLT"/>
    <s v="High income: nonOECD"/>
    <x v="2"/>
    <s v="N/A"/>
    <s v="N/A"/>
    <n v="414508"/>
    <n v="436792"/>
    <n v="100"/>
    <n v="0"/>
    <n v="0"/>
    <s v="N/A"/>
    <s v="N/A"/>
    <e v="#VALUE!"/>
    <e v="#VALUE!"/>
    <e v="#VALUE!"/>
    <e v="#VALUE!"/>
    <n v="0"/>
    <n v="0"/>
    <n v="0"/>
    <e v="#VALUE!"/>
    <e v="#VALUE!"/>
    <e v="#VALUE!"/>
  </r>
  <r>
    <s v="Marshall Islands"/>
    <s v="MHL"/>
    <s v="Upper middle income"/>
    <x v="3"/>
    <s v="N/A"/>
    <s v="Oceania"/>
    <n v="52428"/>
    <n v="58101"/>
    <n v="75.2"/>
    <n v="14409.048000000001"/>
    <n v="14409.048000000001"/>
    <n v="123.43837404437815"/>
    <n v="123.43837404437815"/>
    <n v="1778629.4566473989"/>
    <n v="143615.43547699423"/>
    <n v="215423.15321549133"/>
    <n v="1994052.6098628901"/>
    <n v="1994052.6098628901"/>
    <n v="0"/>
    <n v="0"/>
    <e v="#DIV/0!"/>
    <e v="#DIV/0!"/>
    <e v="#DIV/0!"/>
  </r>
  <r>
    <s v="Mauritania"/>
    <s v="MRT"/>
    <s v="Lower middle income"/>
    <x v="4"/>
    <s v="SSA"/>
    <s v="N/A"/>
    <n v="3609420"/>
    <n v="5640323"/>
    <n v="26.5"/>
    <n v="4145637.4049999998"/>
    <n v="4145637.4049999998"/>
    <n v="104.07876230661041"/>
    <s v="N/A"/>
    <n v="431472810.0843882"/>
    <n v="34839272.050263926"/>
    <n v="52258908.07539589"/>
    <n v="483731718.15978408"/>
    <n v="483731718.15978408"/>
    <n v="1996969500.3540106"/>
    <n v="29954542505.310158"/>
    <n v="1.6148860162829431E-2"/>
    <n v="5.3829533876098099E-3"/>
    <n v="4.8446580488488288E-2"/>
  </r>
  <r>
    <s v="Mauritius"/>
    <s v="MUS"/>
    <s v="Upper middle income"/>
    <x v="4"/>
    <s v="SSA"/>
    <s v="N/A"/>
    <n v="1280924"/>
    <n v="1287944"/>
    <n v="90.5"/>
    <n v="122354.67999999996"/>
    <n v="122354.67999999996"/>
    <n v="122.22222222222223"/>
    <s v="N/A"/>
    <n v="14954460.888888884"/>
    <n v="1207497.944473333"/>
    <n v="1811246.9167099993"/>
    <n v="16765707.805598883"/>
    <n v="16765707.805598883"/>
    <n v="717808.34286977118"/>
    <n v="10767125.143046567"/>
    <n v="1.5571201767285312"/>
    <n v="0.51904005890951044"/>
    <n v="4.6713605301855932"/>
  </r>
  <r>
    <s v="Mexico"/>
    <s v="MEX"/>
    <s v="Upper middle income"/>
    <x v="5"/>
    <s v="LAC"/>
    <s v="N/A"/>
    <n v="117886404"/>
    <n v="143662574"/>
    <n v="83.7"/>
    <n v="23416999.561999988"/>
    <n v="23416999.561999988"/>
    <n v="332.2151282328752"/>
    <s v="N/A"/>
    <n v="7779481512.3190088"/>
    <n v="628154234.71219838"/>
    <n v="942231352.06829762"/>
    <n v="8721712864.3873062"/>
    <n v="8721712864.3873062"/>
    <n v="79509538709.839935"/>
    <n v="1192643080647.5991"/>
    <n v="7.312927904341222E-3"/>
    <n v="2.4376426347804073E-3"/>
    <n v="2.1938783713023668E-2"/>
  </r>
  <r>
    <s v="Micronesia, Fed. Sts."/>
    <s v="FSM"/>
    <s v="Lower middle income"/>
    <x v="3"/>
    <s v="N/A"/>
    <s v="Oceania"/>
    <n v="103619"/>
    <n v="120664"/>
    <n v="53.2"/>
    <n v="56470.751999999993"/>
    <n v="56470.751999999993"/>
    <n v="123.43837404437815"/>
    <n v="123.43837404437815"/>
    <n v="6970657.8079433143"/>
    <n v="562845.76470238285"/>
    <n v="844268.64705357433"/>
    <n v="7814926.4549968885"/>
    <n v="7814926.4549968885"/>
    <n v="122710.4341582333"/>
    <n v="1840656.5123734996"/>
    <n v="4.2457277620579275"/>
    <n v="1.4152425873526426"/>
    <n v="12.737183286173783"/>
  </r>
  <r>
    <s v="Moldova"/>
    <s v="MDA"/>
    <s v="Lower middle income"/>
    <x v="1"/>
    <s v="N/A"/>
    <s v="SE Asia"/>
    <n v="3562045"/>
    <n v="3066205"/>
    <n v="85.4"/>
    <n v="447665.9299999997"/>
    <n v="447665.9299999997"/>
    <n v="76.733547934264351"/>
    <n v="76.733547934264351"/>
    <n v="34350995.098192006"/>
    <n v="2773671.0992035135"/>
    <n v="4160506.6488052704"/>
    <n v="38511501.746997274"/>
    <n v="38511501.746997274"/>
    <n v="26844920.985309076"/>
    <n v="402673814.77963614"/>
    <n v="9.5639448937281282E-2"/>
    <n v="3.1879816312427096E-2"/>
    <n v="0.28691834681184386"/>
  </r>
  <r>
    <s v="Monaco"/>
    <s v="MCO"/>
    <s v="High income: nonOECD"/>
    <x v="1"/>
    <s v="N/A"/>
    <s v="N/A"/>
    <n v="36845"/>
    <n v="43857"/>
    <n v="100"/>
    <n v="0"/>
    <n v="0"/>
    <s v="N/A"/>
    <s v="N/A"/>
    <e v="#VALUE!"/>
    <e v="#VALUE!"/>
    <e v="#VALUE!"/>
    <e v="#VALUE!"/>
    <n v="0"/>
    <n v="0"/>
    <n v="0"/>
    <e v="#VALUE!"/>
    <e v="#VALUE!"/>
    <e v="#VALUE!"/>
  </r>
  <r>
    <s v="Mongolia"/>
    <s v="MNG"/>
    <s v="Lower middle income"/>
    <x v="3"/>
    <s v="E Asia"/>
    <s v="N/A"/>
    <n v="2712738"/>
    <n v="3387631"/>
    <n v="55.1"/>
    <n v="1521046.3189999999"/>
    <n v="1521046.3189999999"/>
    <n v="66.099476439790578"/>
    <s v="N/A"/>
    <n v="100540365.32657067"/>
    <n v="8118131.7982939491"/>
    <n v="12177197.697440924"/>
    <n v="112717563.0240116"/>
    <n v="112717563.0240116"/>
    <n v="2578929370.5691776"/>
    <n v="38683940558.537666"/>
    <n v="2.9138076782390899E-3"/>
    <n v="9.712692260796965E-4"/>
    <n v="8.7414230347172689E-3"/>
  </r>
  <r>
    <s v="Montenegro"/>
    <s v="MNE"/>
    <s v="Upper middle income"/>
    <x v="1"/>
    <s v="N/A"/>
    <s v="SE Asia"/>
    <n v="620078"/>
    <n v="607757"/>
    <n v="90"/>
    <n v="60775.69999999999"/>
    <n v="60775.69999999999"/>
    <n v="76.733547934264351"/>
    <n v="76.733547934264351"/>
    <n v="4663535.0891884696"/>
    <n v="376557.14077652298"/>
    <n v="564835.7111647845"/>
    <n v="5228370.8003532542"/>
    <n v="5228370.8003532542"/>
    <n v="57851763.840370655"/>
    <n v="867776457.60555983"/>
    <n v="6.025020331595311E-3"/>
    <n v="2.0083401105317703E-3"/>
    <n v="1.8075060994785931E-2"/>
  </r>
  <r>
    <s v="Morocco"/>
    <s v="MAR"/>
    <s v="Lower middle income"/>
    <x v="2"/>
    <s v="N Africa"/>
    <s v="N/A"/>
    <n v="31642360"/>
    <n v="39190274"/>
    <n v="73.599999999999994"/>
    <n v="10346232.336000001"/>
    <n v="10346232.336000001"/>
    <n v="192.52288911495421"/>
    <s v="N/A"/>
    <n v="1991886540.7812819"/>
    <n v="160834878.73538461"/>
    <n v="241252318.10307691"/>
    <n v="2233138858.8843589"/>
    <n v="2233138858.8843589"/>
    <n v="2752538514.3211255"/>
    <n v="41288077714.816879"/>
    <n v="5.4086772319820592E-2"/>
    <n v="1.8028924106606864E-2"/>
    <n v="0.16226031695946175"/>
  </r>
  <r>
    <s v="Mozambique"/>
    <s v="MOZ"/>
    <s v="Low income"/>
    <x v="4"/>
    <s v="SSA"/>
    <s v="N/A"/>
    <n v="23967265"/>
    <n v="38875906"/>
    <n v="19.8"/>
    <n v="31178476.612000003"/>
    <n v="31178476.612000003"/>
    <n v="91.342407993033589"/>
    <s v="N/A"/>
    <n v="2847917131.29456"/>
    <n v="229955068.76637924"/>
    <n v="344932603.14956886"/>
    <n v="3192849734.444129"/>
    <n v="3192849734.444129"/>
    <n v="1468383419.1173403"/>
    <n v="22025751286.760105"/>
    <n v="0.14495985598290953"/>
    <n v="4.8319951994303174E-2"/>
    <n v="0.43487956794872851"/>
  </r>
  <r>
    <s v="Myanmar"/>
    <s v="MMR"/>
    <s v="Low income"/>
    <x v="3"/>
    <s v="SE Asia"/>
    <s v="N/A"/>
    <n v="51931231"/>
    <n v="58697747"/>
    <n v="74.7"/>
    <n v="14850529.991"/>
    <n v="14850529.991"/>
    <n v="54.857225895516969"/>
    <s v="N/A"/>
    <n v="814658878.38443661"/>
    <n v="65779631.135151334"/>
    <n v="98669446.70272699"/>
    <n v="913328325.08716357"/>
    <n v="913328325.08716357"/>
    <s v="N/A"/>
    <e v="#VALUE!"/>
    <e v="#VALUE!"/>
    <e v="#VALUE!"/>
    <e v="#VALUE!"/>
  </r>
  <r>
    <s v="Namibia"/>
    <s v="NAM"/>
    <s v="Upper middle income"/>
    <x v="4"/>
    <s v="SSA"/>
    <s v="N/A"/>
    <n v="2178967"/>
    <n v="3042197"/>
    <n v="31.5"/>
    <n v="2083904.9450000001"/>
    <n v="2083904.9450000001"/>
    <n v="184.00940623162845"/>
    <s v="N/A"/>
    <n v="383458111.57260436"/>
    <n v="30962325.218929939"/>
    <n v="46443487.828394905"/>
    <n v="429901599.40099925"/>
    <n v="429901599.40099925"/>
    <n v="322584332.15443879"/>
    <n v="4838764982.3165817"/>
    <n v="8.8845315069462583E-2"/>
    <n v="2.9615105023154193E-2"/>
    <n v="0.26653594520838775"/>
  </r>
  <r>
    <s v="Nepal"/>
    <s v="NPL"/>
    <s v="Low income"/>
    <x v="0"/>
    <s v="S Asia"/>
    <s v="N/A"/>
    <n v="26846016"/>
    <n v="32853228.000000004"/>
    <n v="34.1"/>
    <n v="21650277.252000004"/>
    <n v="21650277.252000004"/>
    <n v="85.661559589717186"/>
    <s v="N/A"/>
    <n v="1854596514.9560969"/>
    <n v="149749395.60013005"/>
    <n v="224624093.40019509"/>
    <n v="2079220608.356292"/>
    <n v="2079220608.356292"/>
    <n v="1089428122.9560325"/>
    <n v="16341421844.340488"/>
    <n v="0.12723621164436111"/>
    <n v="4.2412070548120365E-2"/>
    <n v="0.38170863493308332"/>
  </r>
  <r>
    <s v="Netherlands"/>
    <s v="NLD"/>
    <s v="High income: OECD"/>
    <x v="1"/>
    <s v="N/A"/>
    <s v="N/A"/>
    <n v="16615394"/>
    <n v="17268589"/>
    <n v="100"/>
    <n v="0"/>
    <n v="0"/>
    <s v="N/A"/>
    <s v="N/A"/>
    <e v="#VALUE!"/>
    <e v="#VALUE!"/>
    <e v="#VALUE!"/>
    <e v="#VALUE!"/>
    <n v="0"/>
    <n v="9858835201.9990978"/>
    <n v="147882528029.98648"/>
    <e v="#VALUE!"/>
    <e v="#VALUE!"/>
    <e v="#VALUE!"/>
  </r>
  <r>
    <s v="New Caledonia"/>
    <s v="NCL"/>
    <s v="High income: nonOECD"/>
    <x v="3"/>
    <s v="N/A"/>
    <s v="N/A"/>
    <n v="250000"/>
    <n v="311623"/>
    <n v="100"/>
    <n v="0"/>
    <n v="0"/>
    <s v="N/A"/>
    <s v="N/A"/>
    <e v="#VALUE!"/>
    <e v="#VALUE!"/>
    <e v="#VALUE!"/>
    <e v="#VALUE!"/>
    <n v="0"/>
    <s v="N/A"/>
    <e v="#VALUE!"/>
    <e v="#VALUE!"/>
    <e v="#VALUE!"/>
    <e v="#VALUE!"/>
  </r>
  <r>
    <s v="New Zealand"/>
    <s v="NZL"/>
    <s v="High income: OECD"/>
    <x v="3"/>
    <s v="N/A"/>
    <s v="N/A"/>
    <n v="4367800"/>
    <n v="5208035"/>
    <s v="N/A"/>
    <e v="#VALUE!"/>
    <n v="0"/>
    <s v="N/A"/>
    <s v="N/A"/>
    <e v="#VALUE!"/>
    <e v="#VALUE!"/>
    <e v="#VALUE!"/>
    <e v="#VALUE!"/>
    <n v="0"/>
    <n v="3454391570.3166966"/>
    <n v="51815873554.75045"/>
    <e v="#VALUE!"/>
    <e v="#VALUE!"/>
    <e v="#VALUE!"/>
  </r>
  <r>
    <s v="Nicaragua"/>
    <s v="NIC"/>
    <s v="Lower middle income"/>
    <x v="5"/>
    <s v="LAC"/>
    <s v="N/A"/>
    <n v="5822209"/>
    <n v="7390914"/>
    <n v="52"/>
    <n v="3547638.7199999997"/>
    <n v="3547638.7199999997"/>
    <n v="348.75115633672527"/>
    <s v="N/A"/>
    <n v="1237243105.8649399"/>
    <n v="99901194.583064571"/>
    <n v="149851791.87459686"/>
    <n v="1387094897.7395368"/>
    <n v="1387094897.7395368"/>
    <n v="499234155.04849941"/>
    <n v="7488512325.7274914"/>
    <n v="0.18522970082776538"/>
    <n v="6.1743233609255134E-2"/>
    <n v="0.55568910248329617"/>
  </r>
  <r>
    <s v="Niger"/>
    <s v="NER"/>
    <s v="Low income"/>
    <x v="4"/>
    <s v="SSA"/>
    <s v="N/A"/>
    <n v="15893746"/>
    <n v="34512751"/>
    <n v="8.6"/>
    <n v="31544654.414000001"/>
    <n v="31544654.414000001"/>
    <n v="104.51467268623024"/>
    <s v="N/A"/>
    <n v="3296879231.0794582"/>
    <n v="266206513.51351085"/>
    <n v="399309770.27026629"/>
    <n v="3696189001.3497248"/>
    <n v="3696189001.3497248"/>
    <n v="616279880.15976942"/>
    <n v="9244198202.3965416"/>
    <n v="0.39983878757505376"/>
    <n v="0.13327959585835125"/>
    <n v="1.1995163627251615"/>
  </r>
  <r>
    <s v="Nigeria"/>
    <s v="NGA"/>
    <s v="Lower middle income"/>
    <x v="4"/>
    <s v="SSA"/>
    <s v="N/A"/>
    <n v="159707780"/>
    <n v="273120384"/>
    <n v="28.5"/>
    <n v="195281074.56000003"/>
    <n v="195281074.56000003"/>
    <n v="203.48012483056456"/>
    <s v="N/A"/>
    <n v="39735817428.515594"/>
    <n v="3208468578.2654915"/>
    <n v="4812702867.3982372"/>
    <n v="44548520295.913834"/>
    <n v="44548520295.913834"/>
    <n v="105572259626.5011"/>
    <n v="1583583894397.5166"/>
    <n v="2.8131455777947633E-2"/>
    <n v="9.3771519259825444E-3"/>
    <n v="8.4394367333842896E-2"/>
  </r>
  <r>
    <s v="Northern Mariana Islands"/>
    <s v="MNP"/>
    <s v="High income: nonOECD"/>
    <x v="3"/>
    <s v="N/A"/>
    <s v="Oceania"/>
    <n v="53860"/>
    <n v="56623"/>
    <n v="78.7"/>
    <n v="12060.698999999999"/>
    <n v="12060.698999999999"/>
    <n v="123.43837404437815"/>
    <n v="123.43837404437815"/>
    <n v="1488753.0743986573"/>
    <n v="120209.36699231958"/>
    <n v="180314.05048847938"/>
    <n v="1669067.1248871367"/>
    <n v="1669067.1248871367"/>
    <s v="N/A"/>
    <e v="#VALUE!"/>
    <e v="#VALUE!"/>
    <e v="#VALUE!"/>
    <e v="#VALUE!"/>
  </r>
  <r>
    <s v="Norway"/>
    <s v="NOR"/>
    <s v="High income: OECD"/>
    <x v="1"/>
    <s v="N/A"/>
    <s v="N/A"/>
    <n v="4889252"/>
    <n v="5837893"/>
    <n v="100"/>
    <n v="0"/>
    <n v="0"/>
    <s v="N/A"/>
    <s v="N/A"/>
    <e v="#VALUE!"/>
    <e v="#VALUE!"/>
    <e v="#VALUE!"/>
    <e v="#VALUE!"/>
    <n v="0"/>
    <n v="55897649769.889412"/>
    <n v="838464746548.34119"/>
    <e v="#VALUE!"/>
    <e v="#VALUE!"/>
    <e v="#VALUE!"/>
  </r>
  <r>
    <s v="Oman"/>
    <s v="OMN"/>
    <s v="High income: nonOECD"/>
    <x v="2"/>
    <s v="W Asia"/>
    <s v="N/A"/>
    <n v="2802768"/>
    <n v="4920265"/>
    <n v="96.6"/>
    <n v="167289.01000000015"/>
    <n v="167289.01000000015"/>
    <n v="482.03592814371257"/>
    <s v="N/A"/>
    <n v="80639313.203592882"/>
    <n v="6511221.3446241068"/>
    <n v="9766832.0169361606"/>
    <n v="90406145.22052905"/>
    <n v="90406145.22052905"/>
    <n v="24681714780.510975"/>
    <n v="370225721707.66461"/>
    <n v="2.4419196160529061E-4"/>
    <n v="8.1397320535096871E-5"/>
    <n v="7.3257588481587179E-4"/>
  </r>
  <r>
    <s v="Pakistan"/>
    <s v="PAK"/>
    <s v="Lower middle income"/>
    <x v="0"/>
    <s v="S Asia"/>
    <s v="N/A"/>
    <n v="173149306"/>
    <n v="231743898"/>
    <n v="47.3"/>
    <n v="122129034.24600001"/>
    <n v="122129034.24600001"/>
    <n v="115.29694061187763"/>
    <s v="N/A"/>
    <n v="14081104008.447033"/>
    <n v="1136978743.1620557"/>
    <n v="1705468114.7430837"/>
    <n v="15786572123.190117"/>
    <n v="15786572123.190117"/>
    <n v="8516083273.6478567"/>
    <n v="127741249104.71785"/>
    <n v="0.12358241549876213"/>
    <n v="4.1194138499587377E-2"/>
    <n v="0.37074724649628638"/>
  </r>
  <r>
    <s v="Palau"/>
    <s v="PLW"/>
    <s v="Upper middle income"/>
    <x v="3"/>
    <s v="N/A"/>
    <s v="Oceania"/>
    <n v="20470"/>
    <n v="24836"/>
    <n v="100"/>
    <n v="0"/>
    <n v="0"/>
    <n v="123.43837404437815"/>
    <s v="N/A"/>
    <n v="0"/>
    <n v="0"/>
    <n v="0"/>
    <n v="0"/>
    <n v="0"/>
    <n v="0"/>
    <n v="0"/>
    <e v="#DIV/0!"/>
    <e v="#DIV/0!"/>
    <e v="#DIV/0!"/>
  </r>
  <r>
    <s v="Panama"/>
    <s v="PAN"/>
    <s v="Upper middle income"/>
    <x v="5"/>
    <s v="LAC"/>
    <s v="N/A"/>
    <n v="3678128"/>
    <n v="4882047"/>
    <n v="72.3"/>
    <n v="1352327.0190000001"/>
    <n v="1352327.0190000001"/>
    <n v="246.82124158563948"/>
    <s v="N/A"/>
    <n v="333783033.85938668"/>
    <n v="26951311.068976175"/>
    <n v="40426966.603464268"/>
    <n v="374210000.46285093"/>
    <n v="374210000.46285093"/>
    <n v="223144062.80733454"/>
    <n v="3347160942.1100183"/>
    <n v="0.11179922535393608"/>
    <n v="3.7266408451312023E-2"/>
    <n v="0.3353976760618082"/>
  </r>
  <r>
    <s v="Papua New Guinea"/>
    <s v="PNG"/>
    <s v="Lower middle income"/>
    <x v="3"/>
    <s v="Oceania"/>
    <s v="N/A"/>
    <n v="6858945"/>
    <n v="10044486"/>
    <n v="18.7"/>
    <n v="8166167.1179999998"/>
    <n v="8166167.1179999998"/>
    <n v="121.6804527644754"/>
    <s v="N/A"/>
    <n v="993662912.26861119"/>
    <n v="80233311.85112901"/>
    <n v="120349967.77669352"/>
    <n v="1114012880.0453048"/>
    <n v="1114012880.0453048"/>
    <n v="4102225109.4098563"/>
    <n v="61533376641.147842"/>
    <n v="1.8104205243636113E-2"/>
    <n v="6.0347350812120374E-3"/>
    <n v="5.4312615730908342E-2"/>
  </r>
  <r>
    <s v="Paraguay"/>
    <s v="PRY"/>
    <s v="Lower middle income"/>
    <x v="5"/>
    <s v="LAC"/>
    <s v="N/A"/>
    <n v="6459721"/>
    <n v="8693133"/>
    <n v="79.3"/>
    <n v="1799478.5310000007"/>
    <n v="1799478.5310000007"/>
    <n v="144.43988510463686"/>
    <s v="N/A"/>
    <n v="259916472.26590082"/>
    <n v="20986955.55311016"/>
    <n v="31480433.329665236"/>
    <n v="291396905.59556603"/>
    <n v="291396905.59556603"/>
    <n v="1106511912.5295491"/>
    <n v="16597678687.943237"/>
    <n v="1.7556485522715923E-2"/>
    <n v="5.852161840905307E-3"/>
    <n v="5.2669456568147761E-2"/>
  </r>
  <r>
    <s v="Peru"/>
    <s v="PER"/>
    <s v="Upper middle income"/>
    <x v="5"/>
    <s v="LAC"/>
    <s v="N/A"/>
    <n v="29262830"/>
    <n v="36513996"/>
    <n v="71.5"/>
    <n v="10406488.860000001"/>
    <n v="10406488.860000001"/>
    <n v="264.60950300382302"/>
    <s v="N/A"/>
    <n v="2753655845.2594213"/>
    <n v="222343941.22547197"/>
    <n v="333515911.83820796"/>
    <n v="3087171757.0976295"/>
    <n v="3087171757.0976295"/>
    <n v="18873226426.094227"/>
    <n v="283098396391.41339"/>
    <n v="1.0904942579855836E-2"/>
    <n v="3.6349808599519451E-3"/>
    <n v="3.2714827739567506E-2"/>
  </r>
  <r>
    <s v="Philippines"/>
    <s v="PHL"/>
    <s v="Lower middle income"/>
    <x v="3"/>
    <s v="SE Asia"/>
    <s v="N/A"/>
    <n v="93444322"/>
    <n v="127797234"/>
    <n v="74.3"/>
    <n v="32843889.138"/>
    <n v="32843889.138"/>
    <n v="70.331447049312857"/>
    <s v="N/A"/>
    <n v="2309958249.8027487"/>
    <n v="186517578.88032293"/>
    <n v="279776368.3204844"/>
    <n v="2589734618.1232328"/>
    <n v="2589734618.1232328"/>
    <n v="7783755597.3120575"/>
    <n v="116756333959.68086"/>
    <n v="2.2180677743937546E-2"/>
    <n v="7.3935592479791815E-3"/>
    <n v="6.6542033231812639E-2"/>
  </r>
  <r>
    <s v="Poland"/>
    <s v="POL"/>
    <s v="High income: OECD"/>
    <x v="1"/>
    <s v="N/A"/>
    <s v="N/A"/>
    <n v="38183683"/>
    <n v="37447642"/>
    <s v="N/A"/>
    <e v="#VALUE!"/>
    <n v="0"/>
    <s v="N/A"/>
    <s v="N/A"/>
    <e v="#VALUE!"/>
    <e v="#VALUE!"/>
    <e v="#VALUE!"/>
    <e v="#VALUE!"/>
    <n v="0"/>
    <n v="8848984711.9180393"/>
    <n v="132734770678.77058"/>
    <e v="#VALUE!"/>
    <e v="#VALUE!"/>
    <e v="#VALUE!"/>
  </r>
  <r>
    <s v="Portugal"/>
    <s v="PRT"/>
    <s v="High income: OECD"/>
    <x v="1"/>
    <s v="N/A"/>
    <s v="N/A"/>
    <n v="10573100"/>
    <n v="10432816"/>
    <n v="100"/>
    <n v="0"/>
    <n v="0"/>
    <s v="N/A"/>
    <s v="N/A"/>
    <e v="#VALUE!"/>
    <e v="#VALUE!"/>
    <e v="#VALUE!"/>
    <e v="#VALUE!"/>
    <n v="0"/>
    <n v="1382577582.3167782"/>
    <n v="20738663734.751671"/>
    <e v="#VALUE!"/>
    <e v="#VALUE!"/>
    <e v="#VALUE!"/>
  </r>
  <r>
    <s v="Puerto Rico"/>
    <s v="PRI"/>
    <s v="High income: nonOECD"/>
    <x v="5"/>
    <s v="LAC"/>
    <s v="N/A"/>
    <n v="3721208"/>
    <n v="3703707"/>
    <n v="99.3"/>
    <n v="25925.949000000022"/>
    <n v="25925.949000000022"/>
    <s v="N/A"/>
    <s v="N/A"/>
    <e v="#VALUE!"/>
    <e v="#VALUE!"/>
    <e v="#VALUE!"/>
    <e v="#VALUE!"/>
    <n v="0"/>
    <n v="0"/>
    <n v="0"/>
    <e v="#VALUE!"/>
    <e v="#VALUE!"/>
    <e v="#VALUE!"/>
  </r>
  <r>
    <s v="Qatar"/>
    <s v="QAT"/>
    <s v="High income: nonOECD"/>
    <x v="2"/>
    <s v="W Asia"/>
    <s v="N/A"/>
    <n v="1749713"/>
    <n v="2760329"/>
    <n v="100"/>
    <n v="0"/>
    <n v="0"/>
    <n v="368.85245901639342"/>
    <s v="N/A"/>
    <n v="0"/>
    <n v="0"/>
    <n v="0"/>
    <n v="0"/>
    <n v="0"/>
    <n v="36198411498.324532"/>
    <n v="542976172474.86798"/>
    <n v="0"/>
    <n v="0"/>
    <n v="0"/>
  </r>
  <r>
    <s v="Romania"/>
    <s v="ROM"/>
    <s v="Upper middle income"/>
    <x v="1"/>
    <s v="N/A"/>
    <s v="N/A"/>
    <n v="20246871"/>
    <n v="20232088"/>
    <s v="N/A"/>
    <e v="#VALUE!"/>
    <n v="0"/>
    <s v="N/A"/>
    <s v="N/A"/>
    <e v="#VALUE!"/>
    <e v="#VALUE!"/>
    <e v="#VALUE!"/>
    <e v="#VALUE!"/>
    <n v="0"/>
    <n v="4151541416.0069842"/>
    <n v="62273121240.104767"/>
    <e v="#VALUE!"/>
    <e v="#VALUE!"/>
    <e v="#VALUE!"/>
  </r>
  <r>
    <s v="Russian Federation"/>
    <s v="RUS"/>
    <s v="High income: nonOECD"/>
    <x v="1"/>
    <s v="N/A"/>
    <s v="E Asia"/>
    <n v="142385523"/>
    <n v="133556108"/>
    <n v="70.400000000000006"/>
    <n v="39532607.967999987"/>
    <n v="39532607.967999987"/>
    <n v="118.39568135600364"/>
    <n v="118.39568135600364"/>
    <n v="4680490056.1511364"/>
    <n v="377926169.58392352"/>
    <n v="566889254.37588525"/>
    <n v="5247379310.5270214"/>
    <n v="5247379310.5270214"/>
    <n v="321602181004.87122"/>
    <n v="4824032715073.0684"/>
    <n v="1.0877578201597127E-3"/>
    <n v="3.6258594005323758E-4"/>
    <n v="3.263273460479138E-3"/>
  </r>
  <r>
    <s v="Rwanda"/>
    <s v="RWA"/>
    <s v="Low income"/>
    <x v="4"/>
    <s v="SSA"/>
    <s v="N/A"/>
    <n v="10836732"/>
    <n v="17771249"/>
    <n v="61.2"/>
    <n v="6895244.6120000007"/>
    <n v="6895244.6120000007"/>
    <n v="110.63478977741137"/>
    <s v="N/A"/>
    <n v="762853938.11244845"/>
    <n v="61596641.232889645"/>
    <n v="92394961.849334478"/>
    <n v="855248899.96178293"/>
    <n v="855248899.96178293"/>
    <n v="374942592.12015301"/>
    <n v="5624138881.8022947"/>
    <n v="0.15206752854718134"/>
    <n v="5.0689176182393776E-2"/>
    <n v="0.45620258564154398"/>
  </r>
  <r>
    <s v="Samoa"/>
    <s v="WSM"/>
    <s v="Lower middle income"/>
    <x v="3"/>
    <s v="Oceania"/>
    <s v="N/A"/>
    <n v="186029"/>
    <n v="211105"/>
    <n v="91.7"/>
    <n v="17521.714999999993"/>
    <n v="17521.714999999993"/>
    <n v="250"/>
    <s v="N/A"/>
    <n v="4380428.7499999981"/>
    <n v="353697.71941874985"/>
    <n v="530546.57912812475"/>
    <n v="4910975.3291281229"/>
    <n v="4910975.3291281229"/>
    <n v="4184944.6022272655"/>
    <n v="62774169.033408985"/>
    <n v="7.8232422742457286E-2"/>
    <n v="2.6077474247485764E-2"/>
    <n v="0.23469726822737183"/>
  </r>
  <r>
    <s v="San Marino"/>
    <s v="SMR"/>
    <s v="High income: nonOECD"/>
    <x v="1"/>
    <s v="N/A"/>
    <s v="N/A"/>
    <n v="30861"/>
    <n v="33108"/>
    <s v="N/A"/>
    <e v="#VALUE!"/>
    <n v="0"/>
    <s v="N/A"/>
    <s v="N/A"/>
    <e v="#VALUE!"/>
    <e v="#VALUE!"/>
    <e v="#VALUE!"/>
    <e v="#VALUE!"/>
    <n v="0"/>
    <s v="N/A"/>
    <e v="#VALUE!"/>
    <e v="#VALUE!"/>
    <e v="#VALUE!"/>
    <e v="#VALUE!"/>
  </r>
  <r>
    <s v="Sao Tome and Principe"/>
    <s v="STP"/>
    <s v="Lower middle income"/>
    <x v="4"/>
    <s v="SSA"/>
    <s v="N/A"/>
    <n v="178228"/>
    <n v="278192"/>
    <n v="33.1"/>
    <n v="186110.448"/>
    <n v="186110.448"/>
    <n v="133.83254909236055"/>
    <n v="133.83254909236055"/>
    <n v="24907635.668561216"/>
    <n v="2011167.0420579754"/>
    <n v="3016750.5630869633"/>
    <n v="27924386.231648181"/>
    <n v="27924386.231648181"/>
    <n v="6448878.1292010797"/>
    <n v="96733171.938016191"/>
    <n v="0.28867435722609525"/>
    <n v="9.6224785742031749E-2"/>
    <n v="0.86602307167828585"/>
  </r>
  <r>
    <s v="Saudi Arabia"/>
    <s v="SAU"/>
    <s v="High income: nonOECD"/>
    <x v="2"/>
    <s v="W Asia"/>
    <s v="N/A"/>
    <n v="27258387"/>
    <n v="35634201"/>
    <n v="100"/>
    <n v="0"/>
    <n v="0"/>
    <n v="266.84034238928172"/>
    <s v="N/A"/>
    <n v="0"/>
    <n v="0"/>
    <n v="0"/>
    <n v="0"/>
    <n v="0"/>
    <n v="227429658719.18033"/>
    <n v="3411444880787.7051"/>
    <n v="0"/>
    <n v="0"/>
    <n v="0"/>
  </r>
  <r>
    <s v="Senegal"/>
    <s v="SEN"/>
    <s v="Lower middle income"/>
    <x v="4"/>
    <s v="SSA"/>
    <s v="N/A"/>
    <n v="12950564"/>
    <n v="21855703"/>
    <n v="50.3"/>
    <n v="10862284.391000001"/>
    <n v="10862284.391000001"/>
    <n v="55.384615384615387"/>
    <s v="N/A"/>
    <n v="601603443.19384623"/>
    <n v="48576470.020687111"/>
    <n v="72864705.03103067"/>
    <n v="674468148.22487688"/>
    <n v="674468148.22487688"/>
    <n v="551591058.22012687"/>
    <n v="8273865873.3019028"/>
    <n v="8.151789726266287E-2"/>
    <n v="2.7172632420887622E-2"/>
    <n v="0.24455369178798861"/>
  </r>
  <r>
    <s v="Serbia"/>
    <s v="SRB"/>
    <s v="Upper middle income"/>
    <x v="1"/>
    <s v="N/A"/>
    <s v="SE Asia"/>
    <n v="7291436"/>
    <n v="8582256"/>
    <n v="97.1"/>
    <n v="248885.42400000023"/>
    <n v="248885.42400000023"/>
    <n v="76.733547934264351"/>
    <n v="76.733547934264351"/>
    <n v="19097861.612643726"/>
    <n v="1542056.8359129175"/>
    <n v="2313085.2538693761"/>
    <n v="21410946.866513103"/>
    <n v="21410946.866513103"/>
    <n v="1253506714.6213751"/>
    <n v="18802600719.320625"/>
    <n v="1.1387226259882374E-3"/>
    <n v="3.7957420866274581E-4"/>
    <n v="3.4161678779647121E-3"/>
  </r>
  <r>
    <s v="Seychelles"/>
    <s v="SYC"/>
    <s v="Upper middle income"/>
    <x v="4"/>
    <s v="SSA"/>
    <s v="N/A"/>
    <n v="89770"/>
    <n v="98416"/>
    <n v="97.1"/>
    <n v="2854.0640000000026"/>
    <n v="2854.0640000000026"/>
    <n v="133.83254909236055"/>
    <n v="133.83254909236055"/>
    <n v="381966.66039273929"/>
    <n v="30841.897993411734"/>
    <n v="46262.846990117599"/>
    <n v="428229.50738285691"/>
    <n v="428229.50738285691"/>
    <n v="1160995.7542812461"/>
    <n v="17414936.314218692"/>
    <n v="2.4589783141108726E-2"/>
    <n v="8.1965943803695741E-3"/>
    <n v="7.3769349423326178E-2"/>
  </r>
  <r>
    <s v="Sierra Leone"/>
    <s v="SLE"/>
    <s v="Low income"/>
    <x v="4"/>
    <s v="SSA"/>
    <s v="N/A"/>
    <n v="5751976"/>
    <n v="8057580"/>
    <n v="12.8"/>
    <n v="7026209.7599999998"/>
    <n v="7026209.7599999998"/>
    <n v="125.98695502917954"/>
    <s v="N/A"/>
    <n v="885210773.05870235"/>
    <n v="71476343.870624915"/>
    <n v="107214515.80593738"/>
    <n v="992425288.86463976"/>
    <n v="992425288.86463976"/>
    <n v="309951994.2008189"/>
    <n v="4649279913.0122833"/>
    <n v="0.21345784883527141"/>
    <n v="7.11526162784238E-2"/>
    <n v="0.64037354650581424"/>
  </r>
  <r>
    <s v="Singapore"/>
    <s v="SGP"/>
    <s v="High income: nonOECD"/>
    <x v="3"/>
    <s v="SE Asia"/>
    <s v="N/A"/>
    <n v="5076700"/>
    <n v="6577884"/>
    <n v="100"/>
    <n v="0"/>
    <n v="0"/>
    <n v="373.87387387387389"/>
    <s v="N/A"/>
    <n v="0"/>
    <n v="0"/>
    <n v="0"/>
    <n v="0"/>
    <n v="0"/>
    <n v="0"/>
    <n v="0"/>
    <e v="#DIV/0!"/>
    <e v="#DIV/0!"/>
    <e v="#DIV/0!"/>
  </r>
  <r>
    <s v="Sint Maarten (Dutch part)"/>
    <s v="SXM"/>
    <s v="High income: nonOECD"/>
    <x v="5"/>
    <s v="LAC"/>
    <s v="N/A"/>
    <n v="37850"/>
    <n v="56791"/>
    <s v="N/A"/>
    <e v="#VALUE!"/>
    <n v="0"/>
    <s v="N/A"/>
    <s v="N/A"/>
    <e v="#VALUE!"/>
    <e v="#VALUE!"/>
    <e v="#VALUE!"/>
    <e v="#VALUE!"/>
    <n v="0"/>
    <s v="N/A"/>
    <e v="#VALUE!"/>
    <e v="#VALUE!"/>
    <e v="#VALUE!"/>
    <e v="#VALUE!"/>
  </r>
  <r>
    <s v="Slovak Republic"/>
    <s v="SVK"/>
    <s v="High income: OECD"/>
    <x v="1"/>
    <s v="N/A"/>
    <s v="N/A"/>
    <n v="5391428"/>
    <n v="5395535"/>
    <n v="99.7"/>
    <n v="16186.605000000014"/>
    <n v="16186.605000000014"/>
    <s v="N/A"/>
    <s v="N/A"/>
    <e v="#VALUE!"/>
    <e v="#VALUE!"/>
    <e v="#VALUE!"/>
    <e v="#VALUE!"/>
    <n v="0"/>
    <n v="586207377.22308779"/>
    <n v="8793110658.3463173"/>
    <e v="#VALUE!"/>
    <e v="#VALUE!"/>
    <e v="#VALUE!"/>
  </r>
  <r>
    <s v="Slovenia"/>
    <s v="SVN"/>
    <s v="High income: OECD"/>
    <x v="1"/>
    <s v="N/A"/>
    <s v="N/A"/>
    <n v="2048583"/>
    <n v="2086065.9999999998"/>
    <n v="100"/>
    <n v="0"/>
    <n v="0"/>
    <s v="N/A"/>
    <s v="N/A"/>
    <e v="#VALUE!"/>
    <e v="#VALUE!"/>
    <e v="#VALUE!"/>
    <e v="#VALUE!"/>
    <n v="0"/>
    <n v="179102965.90790325"/>
    <n v="2686544488.6185489"/>
    <e v="#VALUE!"/>
    <e v="#VALUE!"/>
    <e v="#VALUE!"/>
  </r>
  <r>
    <s v="Solomon Islands"/>
    <s v="SLB"/>
    <s v="Lower middle income"/>
    <x v="3"/>
    <s v="Oceania"/>
    <s v="N/A"/>
    <n v="526447"/>
    <n v="764146"/>
    <n v="28.2"/>
    <n v="548656.82799999998"/>
    <n v="548656.82799999998"/>
    <n v="85.308056872037909"/>
    <s v="N/A"/>
    <n v="46804847.88625592"/>
    <n v="3779257.4425757341"/>
    <n v="5668886.1638636012"/>
    <n v="52473734.050119519"/>
    <n v="52473734.050119519"/>
    <n v="177911447.47763148"/>
    <n v="2668671712.1644721"/>
    <n v="1.9662865916002758E-2"/>
    <n v="6.554288638667586E-3"/>
    <n v="5.898859774800827E-2"/>
  </r>
  <r>
    <s v="Somalia"/>
    <s v="SOM"/>
    <s v="Low income"/>
    <x v="4"/>
    <s v="SSA"/>
    <s v="N/A"/>
    <n v="9636173"/>
    <n v="16880129"/>
    <n v="23.4"/>
    <n v="12930178.813999999"/>
    <n v="12930178.813999999"/>
    <n v="70.577237672353348"/>
    <s v="N/A"/>
    <n v="912576303.30170584"/>
    <n v="73685973.610096231"/>
    <n v="110528960.41514434"/>
    <n v="1023105263.7168502"/>
    <n v="1023105263.7168502"/>
    <s v="N/A"/>
    <e v="#VALUE!"/>
    <e v="#VALUE!"/>
    <e v="#VALUE!"/>
    <e v="#VALUE!"/>
  </r>
  <r>
    <s v="South Africa"/>
    <s v="ZAF"/>
    <s v="Upper middle income"/>
    <x v="4"/>
    <s v="SSA"/>
    <s v="N/A"/>
    <n v="50895698"/>
    <n v="58095501"/>
    <n v="73"/>
    <n v="15685785.270000001"/>
    <n v="15685785.270000001"/>
    <n v="333.05404273146206"/>
    <s v="N/A"/>
    <n v="5224214197.5911188"/>
    <n v="421829175.3844949"/>
    <n v="632743763.07674229"/>
    <n v="5856957960.667861"/>
    <n v="5856957960.667861"/>
    <n v="29273625097.571095"/>
    <n v="439104376463.56641"/>
    <n v="1.3338418550592214E-2"/>
    <n v="4.4461395168640715E-3"/>
    <n v="4.0015255651776639E-2"/>
  </r>
  <r>
    <s v="South Sudan"/>
    <s v="SSD"/>
    <s v="Low income"/>
    <x v="4"/>
    <s v="SSA"/>
    <s v="N/A"/>
    <n v="9940929"/>
    <n v="17296842"/>
    <s v="N/A"/>
    <e v="#VALUE!"/>
    <n v="0"/>
    <s v="N/A"/>
    <s v="N/A"/>
    <e v="#VALUE!"/>
    <e v="#VALUE!"/>
    <e v="#VALUE!"/>
    <e v="#VALUE!"/>
    <n v="0"/>
    <n v="0"/>
    <n v="0"/>
    <e v="#VALUE!"/>
    <e v="#VALUE!"/>
    <e v="#VALUE!"/>
  </r>
  <r>
    <s v="Spain"/>
    <s v="ESP"/>
    <s v="High income: OECD"/>
    <x v="1"/>
    <s v="N/A"/>
    <s v="N/A"/>
    <n v="46576897"/>
    <n v="48235492"/>
    <n v="100"/>
    <n v="0"/>
    <n v="0"/>
    <s v="N/A"/>
    <s v="N/A"/>
    <e v="#VALUE!"/>
    <e v="#VALUE!"/>
    <e v="#VALUE!"/>
    <e v="#VALUE!"/>
    <n v="0"/>
    <n v="2120296778.8542163"/>
    <n v="31804451682.813244"/>
    <e v="#VALUE!"/>
    <e v="#VALUE!"/>
    <e v="#VALUE!"/>
  </r>
  <r>
    <s v="Sri Lanka"/>
    <s v="LKA"/>
    <s v="Lower middle income"/>
    <x v="0"/>
    <s v="S Asia"/>
    <s v="N/A"/>
    <n v="20653000"/>
    <n v="23271183"/>
    <n v="90"/>
    <n v="2327118.2999999993"/>
    <n v="2327118.2999999993"/>
    <n v="88.034188034188034"/>
    <s v="N/A"/>
    <n v="204865969.99999994"/>
    <n v="16541902.747649994"/>
    <n v="24812854.121474989"/>
    <n v="229678824.12147492"/>
    <n v="229678824.12147492"/>
    <n v="464220477.24420649"/>
    <n v="6963307158.6630974"/>
    <n v="3.2984158085821329E-2"/>
    <n v="1.0994719361940441E-2"/>
    <n v="9.8952474257463965E-2"/>
  </r>
  <r>
    <s v="St. Kitts and Nevis"/>
    <s v="KNA"/>
    <s v="High income: nonOECD"/>
    <x v="5"/>
    <s v="LAC"/>
    <s v="N/A"/>
    <n v="52352"/>
    <n v="62581"/>
    <s v="N/A"/>
    <e v="#VALUE!"/>
    <n v="0"/>
    <s v="N/A"/>
    <s v="N/A"/>
    <e v="#VALUE!"/>
    <e v="#VALUE!"/>
    <e v="#VALUE!"/>
    <e v="#VALUE!"/>
    <n v="0"/>
    <n v="0"/>
    <n v="0"/>
    <e v="#VALUE!"/>
    <e v="#VALUE!"/>
    <e v="#VALUE!"/>
  </r>
  <r>
    <s v="St. Lucia"/>
    <s v="LCA"/>
    <s v="Upper middle income"/>
    <x v="5"/>
    <s v="LAC"/>
    <s v="N/A"/>
    <n v="177397"/>
    <n v="201817"/>
    <n v="65.3"/>
    <n v="70030.498999999996"/>
    <n v="70030.498999999996"/>
    <n v="271.17101589161985"/>
    <n v="271.17101589161985"/>
    <n v="18990241.557227068"/>
    <n v="1533367.0545382996"/>
    <n v="2300050.5818074495"/>
    <n v="21290292.139034517"/>
    <n v="21290292.139034517"/>
    <n v="643469.71291057637"/>
    <n v="9652045.6936586462"/>
    <n v="2.2057802889414573"/>
    <n v="0.73526009631381906"/>
    <n v="6.6173408668243718"/>
  </r>
  <r>
    <s v="St. Martin (French part)"/>
    <s v="MAF"/>
    <s v="High income: nonOECD"/>
    <x v="5"/>
    <s v="LAC"/>
    <s v="N/A"/>
    <n v="30235"/>
    <s v="N/A"/>
    <s v="N/A"/>
    <e v="#VALUE!"/>
    <n v="0"/>
    <s v="N/A"/>
    <s v="N/A"/>
    <e v="#VALUE!"/>
    <e v="#VALUE!"/>
    <e v="#VALUE!"/>
    <e v="#VALUE!"/>
    <n v="0"/>
    <s v="N/A"/>
    <e v="#VALUE!"/>
    <e v="#VALUE!"/>
    <e v="#VALUE!"/>
    <e v="#VALUE!"/>
  </r>
  <r>
    <s v="St. Vincent and the Grenadines"/>
    <s v="VCT"/>
    <s v="Upper middle income"/>
    <x v="5"/>
    <s v="LAC"/>
    <s v="N/A"/>
    <n v="109316"/>
    <n v="110012"/>
    <s v="N/A"/>
    <e v="#VALUE!"/>
    <n v="0"/>
    <s v="N/A"/>
    <s v="N/A"/>
    <e v="#VALUE!"/>
    <e v="#VALUE!"/>
    <e v="#VALUE!"/>
    <e v="#VALUE!"/>
    <n v="0"/>
    <n v="486293.25308693683"/>
    <n v="7294398.7963040527"/>
    <e v="#VALUE!"/>
    <e v="#VALUE!"/>
    <e v="#VALUE!"/>
  </r>
  <r>
    <s v="Sudan"/>
    <s v="SDN"/>
    <s v="Lower middle income"/>
    <x v="4"/>
    <s v="SSA"/>
    <s v="N/A"/>
    <n v="35652002"/>
    <n v="55077835"/>
    <n v="22.4"/>
    <n v="42740399.960000001"/>
    <n v="42740399.960000001"/>
    <n v="202.18853809005387"/>
    <s v="N/A"/>
    <n v="8641618985.2965965"/>
    <n v="697767524.96777368"/>
    <n v="1046651287.4516605"/>
    <n v="9688270272.7482567"/>
    <n v="9688270272.7482567"/>
    <n v="11997149674.977474"/>
    <n v="179957245124.66211"/>
    <n v="5.3836511367113246E-2"/>
    <n v="1.794550378903775E-2"/>
    <n v="0.16150953410133975"/>
  </r>
  <r>
    <s v="Suriname"/>
    <s v="SUR"/>
    <s v="Upper middle income"/>
    <x v="5"/>
    <s v="LAC"/>
    <s v="N/A"/>
    <n v="524960"/>
    <n v="603805"/>
    <n v="80.400000000000006"/>
    <n v="118345.77999999997"/>
    <n v="118345.77999999997"/>
    <n v="292.45283018867923"/>
    <s v="N/A"/>
    <n v="34610558.301886782"/>
    <n v="2794629.5300858482"/>
    <n v="4191944.295128772"/>
    <n v="38802502.597015552"/>
    <n v="38802502.597015552"/>
    <n v="608902361.97083366"/>
    <n v="9133535429.5625057"/>
    <n v="4.2483551847210801E-3"/>
    <n v="1.4161183949070268E-3"/>
    <n v="1.2745065554163241E-2"/>
  </r>
  <r>
    <s v="Swaziland"/>
    <s v="SWZ"/>
    <s v="Lower middle income"/>
    <x v="4"/>
    <s v="SSA"/>
    <s v="N/A"/>
    <n v="1193148"/>
    <n v="1515527"/>
    <n v="56.5"/>
    <n v="659254.24500000011"/>
    <n v="659254.24500000011"/>
    <n v="113.7123745819398"/>
    <s v="N/A"/>
    <n v="74965365.652173921"/>
    <n v="6053078.4495847831"/>
    <n v="9079617.674377175"/>
    <n v="84044983.326551095"/>
    <n v="84044983.326551095"/>
    <n v="92945139.393425897"/>
    <n v="1394177090.9013884"/>
    <n v="6.0282860674616898E-2"/>
    <n v="2.0094286891538964E-2"/>
    <n v="0.18084858202385071"/>
  </r>
  <r>
    <s v="Sweden"/>
    <s v="SWE"/>
    <s v="High income: OECD"/>
    <x v="1"/>
    <s v="N/A"/>
    <s v="N/A"/>
    <n v="9378126"/>
    <n v="10690986"/>
    <n v="100"/>
    <n v="0"/>
    <n v="0"/>
    <s v="N/A"/>
    <s v="N/A"/>
    <e v="#VALUE!"/>
    <e v="#VALUE!"/>
    <e v="#VALUE!"/>
    <e v="#VALUE!"/>
    <n v="0"/>
    <n v="6600024142.4592056"/>
    <n v="99000362136.888092"/>
    <e v="#VALUE!"/>
    <e v="#VALUE!"/>
    <e v="#VALUE!"/>
  </r>
  <r>
    <s v="Switzerland"/>
    <s v="CHE"/>
    <s v="High income: OECD"/>
    <x v="1"/>
    <s v="N/A"/>
    <s v="N/A"/>
    <n v="7824909"/>
    <n v="9477452"/>
    <n v="100"/>
    <n v="0"/>
    <n v="0"/>
    <s v="N/A"/>
    <s v="N/A"/>
    <e v="#VALUE!"/>
    <e v="#VALUE!"/>
    <e v="#VALUE!"/>
    <e v="#VALUE!"/>
    <n v="0"/>
    <n v="278578079.29358196"/>
    <n v="4178671189.4037294"/>
    <e v="#VALUE!"/>
    <e v="#VALUE!"/>
    <e v="#VALUE!"/>
  </r>
  <r>
    <s v="Syrian Arab Republic"/>
    <s v="SYR"/>
    <s v="Lower middle income"/>
    <x v="2"/>
    <s v="W Asia"/>
    <s v="N/A"/>
    <n v="21532647"/>
    <n v="29933865"/>
    <n v="94.6"/>
    <n v="1616428.7100000014"/>
    <n v="1616428.7100000014"/>
    <n v="299.84170793083854"/>
    <n v="299.84170793083854"/>
    <n v="484672745.1548425"/>
    <n v="39134900.807527758"/>
    <n v="58702351.211291641"/>
    <n v="543375096.36613417"/>
    <n v="543375096.36613417"/>
    <s v="N/A"/>
    <e v="#VALUE!"/>
    <e v="#VALUE!"/>
    <e v="#VALUE!"/>
    <e v="#VALUE!"/>
  </r>
  <r>
    <s v="Tajikistan"/>
    <s v="TJK"/>
    <s v="Low income"/>
    <x v="1"/>
    <s v="CCA"/>
    <s v="N/A"/>
    <n v="7627326"/>
    <n v="11407028"/>
    <n v="93.7"/>
    <n v="718642.76399999938"/>
    <n v="718642.76399999938"/>
    <n v="124.54212454212454"/>
    <s v="N/A"/>
    <n v="89501296.615384534"/>
    <n v="7226782.1952092238"/>
    <n v="10840173.292813836"/>
    <n v="100341469.90819837"/>
    <n v="100341469.90819837"/>
    <n v="89930664.353367537"/>
    <n v="1348959965.300513"/>
    <n v="7.4384320134990009E-2"/>
    <n v="2.4794773378330002E-2"/>
    <n v="0.22315296040497004"/>
  </r>
  <r>
    <s v="Tanzania"/>
    <s v="TZA"/>
    <s v="Low income"/>
    <x v="4"/>
    <s v="SSA"/>
    <s v="N/A"/>
    <n v="44973330"/>
    <n v="79354326"/>
    <n v="11.6"/>
    <n v="70149224.184"/>
    <n v="70149224.184"/>
    <n v="133.83254909236055"/>
    <n v="133.83254909236055"/>
    <n v="9388249489.3961868"/>
    <n v="758054205.02129507"/>
    <n v="1137081307.5319426"/>
    <n v="10525330796.928129"/>
    <n v="10525330796.928129"/>
    <n v="2569147998.6777964"/>
    <n v="38537219980.166946"/>
    <n v="0.27312117486276788"/>
    <n v="9.1040391620922631E-2"/>
    <n v="0.81936352458830364"/>
  </r>
  <r>
    <s v="Thailand"/>
    <s v="THA"/>
    <s v="Upper middle income"/>
    <x v="3"/>
    <s v="SE Asia"/>
    <s v="N/A"/>
    <n v="66402316"/>
    <n v="67554088"/>
    <n v="93.5"/>
    <n v="4391015.719999996"/>
    <n v="4391015.719999996"/>
    <n v="155.59293523969723"/>
    <s v="N/A"/>
    <n v="683211024.55845189"/>
    <n v="55165874.177972198"/>
    <n v="82748811.266958296"/>
    <n v="765959835.82541013"/>
    <n v="765959835.82541013"/>
    <n v="13671322551.946495"/>
    <n v="205069838279.19742"/>
    <n v="3.7351169838178498E-3"/>
    <n v="1.2450389946059499E-3"/>
    <n v="1.1205350951453551E-2"/>
  </r>
  <r>
    <s v="Timor-Leste"/>
    <s v="TMP"/>
    <s v="Lower middle income"/>
    <x v="3"/>
    <s v="SE Asia"/>
    <s v="N/A"/>
    <n v="1066409"/>
    <n v="1555457"/>
    <n v="38.5"/>
    <n v="956606.05499999993"/>
    <n v="956606.05499999993"/>
    <n v="60.24096385542169"/>
    <s v="N/A"/>
    <n v="57626870.783132531"/>
    <n v="4653081.6813840363"/>
    <n v="6979622.5220760545"/>
    <n v="64606493.305208586"/>
    <n v="64606493.305208586"/>
    <n v="6029932.4922673218"/>
    <n v="90448987.384009823"/>
    <n v="0.71428652960939787"/>
    <n v="0.2380955098697993"/>
    <n v="2.1428595888281934"/>
  </r>
  <r>
    <s v="Togo"/>
    <s v="TGO"/>
    <s v="Low income"/>
    <x v="4"/>
    <s v="SSA"/>
    <s v="N/A"/>
    <n v="6306014"/>
    <n v="10014965"/>
    <n v="11.5"/>
    <n v="8863244.0250000004"/>
    <n v="8863244.0250000004"/>
    <n v="139.18215613382898"/>
    <s v="N/A"/>
    <n v="1233605413.7397768"/>
    <n v="99607469.132418275"/>
    <n v="149411203.69862741"/>
    <n v="1383016617.4384043"/>
    <n v="1383016617.4384043"/>
    <n v="289914233.93356359"/>
    <n v="4348713509.0034542"/>
    <n v="0.31802891006157236"/>
    <n v="0.10600963668719079"/>
    <n v="0.95408673018471712"/>
  </r>
  <r>
    <s v="Tonga"/>
    <s v="TON"/>
    <s v="Upper middle income"/>
    <x v="3"/>
    <s v="Oceania"/>
    <s v="N/A"/>
    <n v="104098"/>
    <n v="120995"/>
    <n v="91.7"/>
    <n v="10042.584999999995"/>
    <n v="10042.584999999995"/>
    <n v="400"/>
    <s v="N/A"/>
    <n v="4017033.9999999981"/>
    <n v="324355.41032999987"/>
    <n v="486533.1154949998"/>
    <n v="4503567.1154949982"/>
    <n v="4503567.1154949982"/>
    <n v="258294.04268454493"/>
    <n v="3874410.640268174"/>
    <n v="1.1623876593481779"/>
    <n v="0.38746255311605926"/>
    <n v="3.4871629780445339"/>
  </r>
  <r>
    <s v="Trinidad and Tobago"/>
    <s v="TTO"/>
    <s v="High income: nonOECD"/>
    <x v="5"/>
    <s v="LAC"/>
    <s v="N/A"/>
    <n v="1328095"/>
    <n v="1307826"/>
    <n v="92.1"/>
    <n v="103318.25400000009"/>
    <n v="103318.25400000009"/>
    <n v="271.17101589161985"/>
    <n v="271.17101589161985"/>
    <n v="28016915.89732844"/>
    <n v="2262225.8741297848"/>
    <n v="3393338.8111946769"/>
    <n v="31410254.708523117"/>
    <n v="31410254.708523117"/>
    <n v="8121778589.9499531"/>
    <n v="121826678849.2493"/>
    <n v="2.5782739056188814E-4"/>
    <n v="8.5942463520629375E-5"/>
    <n v="7.7348217168566442E-4"/>
  </r>
  <r>
    <s v="Tunisia"/>
    <s v="TUN"/>
    <s v="Upper middle income"/>
    <x v="2"/>
    <s v="N Africa"/>
    <s v="N/A"/>
    <n v="10549100"/>
    <n v="12561225"/>
    <n v="89.1"/>
    <n v="1369173.5250000013"/>
    <n v="1369173.5250000013"/>
    <n v="116.8"/>
    <s v="N/A"/>
    <n v="159919467.72000015"/>
    <n v="12912697.421051411"/>
    <n v="19369046.131577116"/>
    <n v="179288513.85157725"/>
    <n v="179288513.85157725"/>
    <n v="2923132889.5717616"/>
    <n v="43846993343.576424"/>
    <n v="4.0889579918674855E-3"/>
    <n v="1.3629859972891618E-3"/>
    <n v="1.2266873975602456E-2"/>
  </r>
  <r>
    <s v="Turkey"/>
    <s v="TUR"/>
    <s v="Upper middle income"/>
    <x v="1"/>
    <s v="W Asia"/>
    <s v="N/A"/>
    <n v="72137546"/>
    <n v="86825345"/>
    <n v="90.8"/>
    <n v="7987931.7400000067"/>
    <n v="7987931.7400000067"/>
    <n v="613.01458531112451"/>
    <s v="N/A"/>
    <n v="4896718663.089673"/>
    <n v="395385548.45117563"/>
    <n v="593078322.67676342"/>
    <n v="5489796985.7664366"/>
    <n v="5489796985.7664366"/>
    <n v="4369682103.2413588"/>
    <n v="65545231548.620384"/>
    <n v="8.3755856163147346E-2"/>
    <n v="2.7918618721049115E-2"/>
    <n v="0.25126756848944204"/>
  </r>
  <r>
    <s v="Turkmenistan"/>
    <s v="TKM"/>
    <s v="Upper middle income"/>
    <x v="1"/>
    <s v="CCA"/>
    <s v="N/A"/>
    <n v="5041995"/>
    <n v="6159875"/>
    <n v="99.1"/>
    <n v="55438.875000000051"/>
    <n v="55438.875000000051"/>
    <n v="254.00457665903889"/>
    <s v="N/A"/>
    <n v="14081727.974828387"/>
    <n v="1137029.125327518"/>
    <n v="1705543.6879912768"/>
    <n v="15787271.662819663"/>
    <n v="15787271.662819663"/>
    <n v="8829721321.8512516"/>
    <n v="132445819827.76877"/>
    <n v="1.1919796097263979E-4"/>
    <n v="3.97326536575466E-5"/>
    <n v="3.575938829179194E-4"/>
  </r>
  <r>
    <s v="Turks and Caicos Islands"/>
    <s v="TCA"/>
    <s v="High income: nonOECD"/>
    <x v="5"/>
    <s v="LAC"/>
    <s v="N/A"/>
    <n v="30993"/>
    <n v="40698"/>
    <s v="N/A"/>
    <e v="#VALUE!"/>
    <n v="0"/>
    <s v="N/A"/>
    <s v="N/A"/>
    <e v="#VALUE!"/>
    <e v="#VALUE!"/>
    <e v="#VALUE!"/>
    <e v="#VALUE!"/>
    <n v="0"/>
    <s v="N/A"/>
    <e v="#VALUE!"/>
    <e v="#VALUE!"/>
    <e v="#VALUE!"/>
    <e v="#VALUE!"/>
  </r>
  <r>
    <s v="Tuvalu"/>
    <s v="TUV"/>
    <s v="Upper middle income"/>
    <x v="3"/>
    <s v="N/A"/>
    <s v="Oceania"/>
    <n v="9827"/>
    <n v="10707"/>
    <n v="83.2"/>
    <n v="1798.7759999999992"/>
    <n v="1798.7759999999992"/>
    <n v="123.43837404437815"/>
    <n v="123.43837404437815"/>
    <n v="222037.98471005025"/>
    <n v="17928.457075413007"/>
    <n v="26892.685613119509"/>
    <n v="248930.67032316976"/>
    <n v="248930.67032316976"/>
    <n v="0"/>
    <n v="0"/>
    <e v="#DIV/0!"/>
    <e v="#DIV/0!"/>
    <e v="#DIV/0!"/>
  </r>
  <r>
    <s v="Uganda"/>
    <s v="UGA"/>
    <s v="Low income"/>
    <x v="4"/>
    <s v="SSA"/>
    <s v="N/A"/>
    <n v="33987213"/>
    <n v="63387713"/>
    <n v="33.200000000000003"/>
    <n v="42342992.283999994"/>
    <n v="42342992.283999994"/>
    <n v="129.62897338672525"/>
    <s v="N/A"/>
    <n v="5488878619.8969479"/>
    <n v="443199504.16357905"/>
    <n v="664799256.2453686"/>
    <n v="6153677876.1423168"/>
    <n v="6153677876.1423168"/>
    <n v="2346264440.3663912"/>
    <n v="35193966605.495865"/>
    <n v="0.17485036412978136"/>
    <n v="5.8283454709927116E-2"/>
    <n v="0.52455109238934394"/>
  </r>
  <r>
    <s v="Ukraine"/>
    <s v="UKR"/>
    <s v="Lower middle income"/>
    <x v="1"/>
    <s v="N/A"/>
    <s v="SE Asia"/>
    <n v="45870700"/>
    <n v="39841900"/>
    <n v="94.3"/>
    <n v="2270988.3000000021"/>
    <n v="2270988.3000000021"/>
    <n v="76.733547934264351"/>
    <n v="76.733547934264351"/>
    <n v="174260989.57620367"/>
    <n v="14070703.603330566"/>
    <n v="21106055.404995851"/>
    <n v="195367044.98119953"/>
    <n v="195367044.98119953"/>
    <n v="7490439523.5188084"/>
    <n v="112356592852.78212"/>
    <n v="1.7388124721544717E-3"/>
    <n v="5.7960415738482387E-4"/>
    <n v="5.2164374164634158E-3"/>
  </r>
  <r>
    <s v="United Arab Emirates"/>
    <s v="ARE"/>
    <s v="High income: nonOECD"/>
    <x v="2"/>
    <s v="W Asia"/>
    <s v="N/A"/>
    <n v="8441537"/>
    <n v="12330367"/>
    <n v="97.5"/>
    <n v="308259.17500000028"/>
    <n v="308259.17500000028"/>
    <n v="299.84170793083854"/>
    <n v="299.84170793083854"/>
    <n v="92428957.517351329"/>
    <n v="7463176.1747385329"/>
    <n v="11194764.262107799"/>
    <n v="103623721.77945913"/>
    <n v="103623721.77945913"/>
    <n v="62330586907.323227"/>
    <n v="934958803609.84839"/>
    <n v="1.1083239323419492E-4"/>
    <n v="3.6944131078064978E-5"/>
    <n v="3.3249717970258475E-4"/>
  </r>
  <r>
    <s v="United Kingdom"/>
    <s v="GBR"/>
    <s v="High income: OECD"/>
    <x v="1"/>
    <s v="N/A"/>
    <s v="N/A"/>
    <n v="62766365"/>
    <n v="68630898"/>
    <n v="100"/>
    <n v="0"/>
    <n v="0"/>
    <s v="N/A"/>
    <s v="N/A"/>
    <e v="#VALUE!"/>
    <e v="#VALUE!"/>
    <e v="#VALUE!"/>
    <e v="#VALUE!"/>
    <n v="0"/>
    <n v="35339743590.988991"/>
    <n v="530096153864.83484"/>
    <e v="#VALUE!"/>
    <e v="#VALUE!"/>
    <e v="#VALUE!"/>
  </r>
  <r>
    <s v="United States"/>
    <s v="USA"/>
    <s v="High income: OECD"/>
    <x v="6"/>
    <s v="N/A"/>
    <s v="N/A"/>
    <n v="309326295"/>
    <n v="362628830"/>
    <n v="99.9"/>
    <n v="362628.82999996009"/>
    <n v="362628.82999996009"/>
    <s v="N/A"/>
    <s v="N/A"/>
    <e v="#VALUE!"/>
    <e v="#VALUE!"/>
    <e v="#VALUE!"/>
    <e v="#VALUE!"/>
    <n v="0"/>
    <n v="183742824092.28073"/>
    <n v="2756142361384.2109"/>
    <e v="#VALUE!"/>
    <e v="#VALUE!"/>
    <e v="#VALUE!"/>
  </r>
  <r>
    <s v="Uruguay"/>
    <s v="URY"/>
    <s v="High income: nonOECD"/>
    <x v="5"/>
    <s v="LAC"/>
    <s v="N/A"/>
    <n v="3371982"/>
    <n v="3581432"/>
    <n v="96"/>
    <n v="143257.28000000012"/>
    <n v="143257.28000000012"/>
    <n v="253.52112676056339"/>
    <s v="N/A"/>
    <n v="36318747.042253554"/>
    <n v="2932557.2299267631"/>
    <n v="4398835.8448901447"/>
    <n v="40717582.887143701"/>
    <n v="40717582.887143701"/>
    <n v="1344798564.3950837"/>
    <n v="20171978465.926254"/>
    <n v="2.0185220282642235E-3"/>
    <n v="6.7284067608807448E-4"/>
    <n v="6.0555660847926704E-3"/>
  </r>
  <r>
    <s v="Uzbekistan"/>
    <s v="UZB"/>
    <s v="Lower middle income"/>
    <x v="1"/>
    <s v="CCA"/>
    <s v="N/A"/>
    <n v="28562400"/>
    <n v="34146873"/>
    <n v="100"/>
    <n v="0"/>
    <n v="0"/>
    <n v="226.23345367027679"/>
    <s v="N/A"/>
    <n v="0"/>
    <n v="0"/>
    <n v="0"/>
    <n v="0"/>
    <n v="0"/>
    <n v="10682101144.876232"/>
    <n v="160231517173.14349"/>
    <n v="0"/>
    <n v="0"/>
    <n v="0"/>
  </r>
  <r>
    <s v="Vanuatu"/>
    <s v="VUT"/>
    <s v="Lower middle income"/>
    <x v="3"/>
    <s v="Oceania"/>
    <s v="N/A"/>
    <n v="236299"/>
    <n v="352225"/>
    <n v="56.4"/>
    <n v="153570.1"/>
    <n v="153570.1"/>
    <n v="159.42028985507247"/>
    <s v="N/A"/>
    <n v="24482189.855072465"/>
    <n v="1976814.419847826"/>
    <n v="2965221.6297717392"/>
    <n v="27447411.484844204"/>
    <n v="27447411.484844204"/>
    <n v="7861829.9212791082"/>
    <n v="117927448.81918663"/>
    <n v="0.23274828515054377"/>
    <n v="7.7582761716847914E-2"/>
    <n v="0.69824485545163129"/>
  </r>
  <r>
    <s v="Venezuela, RB"/>
    <s v="VEN"/>
    <s v="Upper middle income"/>
    <x v="5"/>
    <s v="LAC"/>
    <s v="N/A"/>
    <n v="29043283"/>
    <n v="37172167"/>
    <s v="N/A"/>
    <e v="#VALUE!"/>
    <n v="0"/>
    <s v="N/A"/>
    <s v="N/A"/>
    <e v="#VALUE!"/>
    <e v="#VALUE!"/>
    <e v="#VALUE!"/>
    <e v="#VALUE!"/>
    <n v="0"/>
    <n v="80589397008.56813"/>
    <n v="1208840955128.522"/>
    <e v="#VALUE!"/>
    <e v="#VALUE!"/>
    <e v="#VALUE!"/>
  </r>
  <r>
    <s v="Vietnam"/>
    <s v="VNM"/>
    <s v="Lower middle income"/>
    <x v="3"/>
    <s v="SE Asia"/>
    <s v="N/A"/>
    <n v="86932500"/>
    <n v="101830324"/>
    <n v="71.599999999999994"/>
    <n v="28919812.016000003"/>
    <n v="28919812.016000003"/>
    <n v="76.733547934264351"/>
    <n v="76.733547934264351"/>
    <n v="2219119781.5796504"/>
    <n v="179182826.76364887"/>
    <n v="268774240.1454733"/>
    <n v="2487894021.7251239"/>
    <n v="2487894021.7251239"/>
    <n v="13594414917.099127"/>
    <n v="203916223756.48691"/>
    <n v="1.2200569311719514E-2"/>
    <n v="4.0668564372398379E-3"/>
    <n v="3.6601707935158538E-2"/>
  </r>
  <r>
    <s v="Virgin Islands (U.S.)"/>
    <s v="VIR"/>
    <s v="High income: nonOECD"/>
    <x v="5"/>
    <s v="LAC"/>
    <s v="N/A"/>
    <n v="106267"/>
    <n v="104912"/>
    <n v="96.4"/>
    <n v="3776.8319999999917"/>
    <n v="3776.8319999999917"/>
    <n v="271.17101589161985"/>
    <n v="271.17101589161985"/>
    <n v="1024167.3702919761"/>
    <n v="82696.394314225618"/>
    <n v="124044.59147133843"/>
    <n v="1148211.9617633147"/>
    <n v="1148211.9617633147"/>
    <s v="N/A"/>
    <e v="#VALUE!"/>
    <e v="#VALUE!"/>
    <e v="#VALUE!"/>
    <e v="#VALUE!"/>
  </r>
  <r>
    <s v="West Bank and Gaza"/>
    <s v="WBG"/>
    <s v="Lower middle income"/>
    <x v="2"/>
    <s v="N/A"/>
    <s v="N/A"/>
    <n v="3811102"/>
    <s v="N/A"/>
    <n v="94.3"/>
    <e v="#VALUE!"/>
    <n v="0"/>
    <s v="N/A"/>
    <s v="N/A"/>
    <e v="#VALUE!"/>
    <e v="#VALUE!"/>
    <e v="#VALUE!"/>
    <e v="#VALUE!"/>
    <n v="0"/>
    <s v="N/A"/>
    <e v="#VALUE!"/>
    <e v="#VALUE!"/>
    <e v="#VALUE!"/>
    <e v="#VALUE!"/>
  </r>
  <r>
    <s v="Yemen, Rep."/>
    <s v="YEM"/>
    <s v="Lower middle income"/>
    <x v="2"/>
    <s v="W Asia"/>
    <s v="N/A"/>
    <n v="22763008"/>
    <n v="33991041"/>
    <n v="52.7"/>
    <n v="16077762.392999999"/>
    <n v="16077762.392999999"/>
    <n v="299.84170793083854"/>
    <n v="299.84170793083854"/>
    <n v="4820783735.6233253"/>
    <n v="389254182.73290539"/>
    <n v="583881274.09935808"/>
    <n v="5404665009.722683"/>
    <n v="5404665009.722683"/>
    <n v="6972508226.6016922"/>
    <n v="104587623399.02539"/>
    <n v="5.1675952030219352E-2"/>
    <n v="1.722531734340645E-2"/>
    <n v="0.15502785609065806"/>
  </r>
  <r>
    <s v="Zambia"/>
    <s v="ZMB"/>
    <s v="Lower middle income"/>
    <x v="4"/>
    <s v="SSA"/>
    <s v="N/A"/>
    <n v="13216985"/>
    <n v="24956509"/>
    <n v="42.5"/>
    <n v="14349992.674999999"/>
    <n v="14349992.674999999"/>
    <n v="143.32134153417664"/>
    <s v="N/A"/>
    <n v="2056660201.1866078"/>
    <n v="166065027.94481266"/>
    <n v="249097541.91721898"/>
    <n v="2305757743.103827"/>
    <n v="2305757743.103827"/>
    <n v="4492889935.3189192"/>
    <n v="67393349029.783791"/>
    <n v="3.4213431685741293E-2"/>
    <n v="1.140447722858043E-2"/>
    <n v="0.10264029505722388"/>
  </r>
  <r>
    <s v="Zimbabwe"/>
    <s v="ZWE"/>
    <s v="Low income"/>
    <x v="4"/>
    <s v="SSA"/>
    <s v="N/A"/>
    <n v="13076978"/>
    <n v="20292380"/>
    <n v="39.9"/>
    <n v="12195720.379999999"/>
    <n v="12195720.379999999"/>
    <n v="56.017748197448697"/>
    <s v="N/A"/>
    <n v="683176793.33333325"/>
    <n v="55163110.177699991"/>
    <n v="82744665.26654999"/>
    <n v="765921458.5998832"/>
    <n v="765921458.5998832"/>
    <n v="996384461.46226156"/>
    <n v="14945766921.933924"/>
    <n v="5.1246715046508698E-2"/>
    <n v="1.708223834883623E-2"/>
    <n v="0.15374014513952611"/>
  </r>
  <r>
    <m/>
    <m/>
    <m/>
    <x v="7"/>
    <m/>
    <m/>
    <m/>
    <m/>
    <m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15">
  <r>
    <s v="Afghanistan"/>
    <s v="AFG"/>
    <s v="Low income"/>
    <x v="0"/>
    <s v="S Asia"/>
    <n v="25.998990717254753"/>
    <n v="28397812"/>
    <n v="43499632"/>
    <n v="57.1"/>
    <n v="18661342.127999999"/>
    <n v="18661342.127999999"/>
    <n v="8.9092594499948508"/>
    <n v="166258738.703471"/>
    <n v="1.8630000000000001E-2"/>
    <n v="3097400.3020456648"/>
    <n v="4646100.4530684976"/>
    <n v="170904839.1565395"/>
    <n v="170904839.1565395"/>
    <n v="275432181.35267156"/>
    <n v="4131482720.2900734"/>
    <n v="4.1366465922079466E-2"/>
    <n v="1.3788821974026489E-2"/>
    <n v="0.12409939776623841"/>
  </r>
  <r>
    <s v="Albania"/>
    <s v="ALB"/>
    <s v="Upper middle income"/>
    <x v="1"/>
    <s v="N/A"/>
    <n v="270.56505523889945"/>
    <n v="3150143"/>
    <n v="3310564"/>
    <n v="95.9"/>
    <n v="135733.12399999975"/>
    <n v="135733.12399999975"/>
    <n v="270.56505523889945"/>
    <n v="36724640.192808323"/>
    <n v="1.8630000000000001E-2"/>
    <n v="684180.04679201904"/>
    <n v="1026270.0701880285"/>
    <n v="37750910.262996353"/>
    <n v="37750910.262996353"/>
    <n v="411495291.46132761"/>
    <n v="6172429371.9199142"/>
    <n v="6.1160538239182884E-3"/>
    <n v="2.0386846079727631E-3"/>
    <n v="1.8348161471754866E-2"/>
  </r>
  <r>
    <s v="Algeria"/>
    <s v="DZA"/>
    <s v="Upper middle income"/>
    <x v="2"/>
    <s v="N Africa"/>
    <n v="412.83830673143649"/>
    <n v="37062820"/>
    <n v="48561408"/>
    <n v="83.8"/>
    <n v="7866948.0960000018"/>
    <n v="7866948.0960000018"/>
    <n v="494.8797606719595"/>
    <n v="3893193390.9672084"/>
    <n v="1.8630000000000001E-2"/>
    <n v="72530192.873719096"/>
    <n v="108795289.31057864"/>
    <n v="4001988680.2777872"/>
    <n v="4001988680.2777872"/>
    <n v="41290138275.752869"/>
    <n v="619352074136.29297"/>
    <n v="6.4615730654631184E-3"/>
    <n v="2.153857688487706E-3"/>
    <n v="1.9384719196389358E-2"/>
  </r>
  <r>
    <s v="American Samoa"/>
    <s v="ASM"/>
    <s v="Upper middle income"/>
    <x v="3"/>
    <s v="N/A"/>
    <s v="N/A"/>
    <n v="55636"/>
    <n v="60989"/>
    <n v="100"/>
    <n v="0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Andorra"/>
    <s v="ADO"/>
    <s v="High income: nonOECD"/>
    <x v="1"/>
    <s v="N/A"/>
    <s v="N/A"/>
    <n v="77907"/>
    <n v="88710"/>
    <n v="100"/>
    <n v="0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Angola"/>
    <s v="AGO"/>
    <s v="Upper middle income"/>
    <x v="4"/>
    <s v="SSA"/>
    <n v="68.964152792292879"/>
    <n v="19549124"/>
    <n v="34783312"/>
    <n v="52.6"/>
    <n v="16487289.887999998"/>
    <n v="16487289.887999998"/>
    <n v="267.12670435650148"/>
    <n v="4404195411.551712"/>
    <n v="1.8630000000000001E-2"/>
    <n v="82050160.517208397"/>
    <n v="123075240.7758126"/>
    <n v="4527270652.3275242"/>
    <n v="4527270652.3275242"/>
    <n v="38084701465.664787"/>
    <n v="571270521984.9718"/>
    <n v="7.924915566440904E-3"/>
    <n v="2.641638522146968E-3"/>
    <n v="2.3774746699322714E-2"/>
  </r>
  <r>
    <s v="Antigua and Barbuda"/>
    <s v="ATG"/>
    <s v="High income: nonOECD"/>
    <x v="5"/>
    <s v="LAC"/>
    <n v="457.1136934673367"/>
    <n v="87233"/>
    <n v="104982"/>
    <n v="97.9"/>
    <n v="2204.6219999999903"/>
    <n v="2204.6219999999903"/>
    <n v="457.1136934673367"/>
    <n v="1007762.9051193424"/>
    <n v="1.8630000000000001E-2"/>
    <n v="18774.62292237335"/>
    <n v="28161.934383560027"/>
    <n v="1035924.8395029024"/>
    <n v="1035924.8395029024"/>
    <n v="0"/>
    <n v="0"/>
    <e v="#DIV/0!"/>
    <e v="#DIV/0!"/>
    <e v="#DIV/0!"/>
  </r>
  <r>
    <s v="Argentina"/>
    <s v="ARG"/>
    <s v="Upper middle income"/>
    <x v="5"/>
    <s v="LAC"/>
    <n v="457.1136934673367"/>
    <n v="40374224"/>
    <n v="46859381"/>
    <n v="98.4"/>
    <n v="749750.09599999548"/>
    <n v="749750.09599999548"/>
    <n v="485.89341692789969"/>
    <n v="364298635.98745865"/>
    <n v="1.8630000000000001E-2"/>
    <n v="6786883.5884463545"/>
    <n v="10180325.382669531"/>
    <n v="374478961.37012815"/>
    <n v="374478961.37012815"/>
    <n v="23990886710.821796"/>
    <n v="359863300662.32697"/>
    <n v="1.0406144796674213E-3"/>
    <n v="3.4687149322247372E-4"/>
    <n v="3.1218434390022638E-3"/>
  </r>
  <r>
    <s v="Armenia"/>
    <s v="ARM"/>
    <s v="Lower middle income"/>
    <x v="1"/>
    <s v="CCA"/>
    <n v="270.56505523889945"/>
    <n v="2963496"/>
    <n v="2969807"/>
    <n v="98.6"/>
    <n v="41577.298000000039"/>
    <n v="41577.298000000039"/>
    <n v="617.64705882352939"/>
    <n v="25680095.823529433"/>
    <n v="1.8630000000000001E-2"/>
    <n v="478420.18519235338"/>
    <n v="717630.2777885301"/>
    <n v="26397726.101317964"/>
    <n v="26397726.101317964"/>
    <n v="346885961.37184739"/>
    <n v="5203289420.5777111"/>
    <n v="5.0732765309808728E-3"/>
    <n v="1.6910921769936241E-3"/>
    <n v="1.5219829592942616E-2"/>
  </r>
  <r>
    <s v="Aruba"/>
    <s v="ABW"/>
    <s v="High income: nonOECD"/>
    <x v="5"/>
    <s v="LAC"/>
    <n v="457.1136934673367"/>
    <n v="101597"/>
    <n v="107734"/>
    <n v="97.4"/>
    <n v="2801.0839999999907"/>
    <n v="2801.0839999999907"/>
    <n v="457.1136934673367"/>
    <n v="1280413.852952257"/>
    <n v="1.8630000000000001E-2"/>
    <n v="23854.110080500548"/>
    <n v="35781.165120750826"/>
    <n v="1316195.0180730079"/>
    <n v="1316195.0180730079"/>
    <n v="93353.484085037111"/>
    <n v="1400302.2612755566"/>
    <n v="0.93993636550587722"/>
    <n v="0.31331212183529239"/>
    <n v="2.8198090965176315"/>
  </r>
  <r>
    <s v="Australia"/>
    <s v="AUS"/>
    <s v="High income: OECD"/>
    <x v="3"/>
    <s v="N/A"/>
    <s v="N/A"/>
    <n v="22031800"/>
    <n v="28335501"/>
    <n v="100"/>
    <n v="0"/>
    <n v="0"/>
    <s v="N/A"/>
    <e v="#VALUE!"/>
    <e v="#VALUE!"/>
    <e v="#VALUE!"/>
    <e v="#VALUE!"/>
    <e v="#VALUE!"/>
    <n v="0"/>
    <n v="111498672067.56895"/>
    <n v="1672480081013.5344"/>
    <e v="#VALUE!"/>
    <e v="#VALUE!"/>
    <e v="#VALUE!"/>
  </r>
  <r>
    <s v="Austria"/>
    <s v="AUT"/>
    <s v="High income: OECD"/>
    <x v="1"/>
    <s v="N/A"/>
    <s v="N/A"/>
    <n v="8389771"/>
    <n v="9005424"/>
    <n v="100"/>
    <n v="0"/>
    <n v="0"/>
    <s v="N/A"/>
    <e v="#VALUE!"/>
    <e v="#VALUE!"/>
    <e v="#VALUE!"/>
    <e v="#VALUE!"/>
    <e v="#VALUE!"/>
    <n v="0"/>
    <n v="1711085863.7734871"/>
    <n v="25666287956.602306"/>
    <e v="#VALUE!"/>
    <e v="#VALUE!"/>
    <e v="#VALUE!"/>
  </r>
  <r>
    <s v="Azerbaijan"/>
    <s v="AZE"/>
    <s v="Upper middle income"/>
    <x v="1"/>
    <s v="CCA"/>
    <n v="270.56505523889945"/>
    <n v="9054332"/>
    <n v="10474377"/>
    <n v="80.2"/>
    <n v="2073926.6459999995"/>
    <n v="2073926.6459999995"/>
    <n v="315.72052401746726"/>
    <n v="654781207.44890809"/>
    <n v="1.8630000000000001E-2"/>
    <n v="12198573.894773157"/>
    <n v="18297860.842159737"/>
    <n v="673079068.29106784"/>
    <n v="673079068.29106784"/>
    <n v="24407648660.104939"/>
    <n v="366114729901.5741"/>
    <n v="1.8384375533648091E-3"/>
    <n v="6.1281251778826974E-4"/>
    <n v="5.5153126600944275E-3"/>
  </r>
  <r>
    <s v="Bahamas, The"/>
    <s v="BHS"/>
    <s v="High income: nonOECD"/>
    <x v="5"/>
    <s v="LAC"/>
    <n v="457.1136934673367"/>
    <n v="360498"/>
    <n v="447410"/>
    <n v="98.1"/>
    <n v="8500.7900000000081"/>
    <n v="8500.7900000000081"/>
    <n v="457.1136934673367"/>
    <n v="3885827.5142902047"/>
    <n v="1.8630000000000001E-2"/>
    <n v="72392.966591226519"/>
    <n v="108589.44988683978"/>
    <n v="3994416.9641770446"/>
    <n v="3994416.9641770446"/>
    <n v="2651920.615148271"/>
    <n v="39778809.227224067"/>
    <n v="0.10041569976014568"/>
    <n v="3.3471899920048558E-2"/>
    <n v="0.30124709928043708"/>
  </r>
  <r>
    <s v="Bahrain"/>
    <s v="BHR"/>
    <s v="High income: nonOECD"/>
    <x v="2"/>
    <s v="N/A"/>
    <s v="N/A"/>
    <n v="1251513"/>
    <n v="1641988"/>
    <n v="100"/>
    <n v="0"/>
    <n v="0"/>
    <s v="N/A"/>
    <e v="#VALUE!"/>
    <e v="#VALUE!"/>
    <e v="#VALUE!"/>
    <e v="#VALUE!"/>
    <e v="#VALUE!"/>
    <n v="0"/>
    <n v="5828990079.2173672"/>
    <n v="87434851188.260513"/>
    <e v="#VALUE!"/>
    <e v="#VALUE!"/>
    <e v="#VALUE!"/>
  </r>
  <r>
    <s v="Bangladesh"/>
    <s v="BGD"/>
    <s v="Low income"/>
    <x v="0"/>
    <s v="S Asia"/>
    <n v="25.998990717254753"/>
    <n v="151125475"/>
    <n v="185063630"/>
    <n v="83.4"/>
    <n v="30720562.579999987"/>
    <n v="30720562.579999987"/>
    <n v="13.875123885034688"/>
    <n v="426251611.61546069"/>
    <n v="1.8630000000000001E-2"/>
    <n v="7941067.524396033"/>
    <n v="11911601.28659405"/>
    <n v="438163212.90205473"/>
    <n v="438163212.90205473"/>
    <n v="5122872663.1918049"/>
    <n v="76843089947.877075"/>
    <n v="5.702050935214374E-3"/>
    <n v="1.9006836450714579E-3"/>
    <n v="1.7106152805643121E-2"/>
  </r>
  <r>
    <s v="Barbados"/>
    <s v="BRB"/>
    <s v="High income: nonOECD"/>
    <x v="5"/>
    <s v="LAC"/>
    <n v="457.1136934673367"/>
    <n v="280396"/>
    <n v="305709"/>
    <n v="99.8"/>
    <n v="611.41800000000057"/>
    <n v="611.41800000000057"/>
    <n v="625"/>
    <n v="382136.25000000035"/>
    <n v="1.8630000000000001E-2"/>
    <n v="7119.1983375000063"/>
    <n v="10678.79750625001"/>
    <n v="392815.04750625038"/>
    <n v="392815.04750625038"/>
    <n v="1055471.7325739102"/>
    <n v="15832075.988608653"/>
    <n v="2.4811341721002664E-2"/>
    <n v="8.2704472403342215E-3"/>
    <n v="7.4434025163007997E-2"/>
  </r>
  <r>
    <s v="Belarus"/>
    <s v="BLR"/>
    <s v="Upper middle income"/>
    <x v="1"/>
    <s v="N/A"/>
    <s v="N/A"/>
    <n v="9490000"/>
    <n v="8488334"/>
    <n v="99.6"/>
    <n v="33953.336000000032"/>
    <n v="33953.336000000032"/>
    <s v="N/A"/>
    <e v="#VALUE!"/>
    <e v="#VALUE!"/>
    <e v="#VALUE!"/>
    <e v="#VALUE!"/>
    <e v="#VALUE!"/>
    <n v="0"/>
    <n v="1379214938.7502549"/>
    <n v="20688224081.253822"/>
    <e v="#VALUE!"/>
    <e v="#VALUE!"/>
    <e v="#VALUE!"/>
  </r>
  <r>
    <s v="Belgium"/>
    <s v="BEL"/>
    <s v="High income: OECD"/>
    <x v="1"/>
    <s v="N/A"/>
    <s v="N/A"/>
    <n v="10895586"/>
    <n v="11664194"/>
    <n v="100"/>
    <n v="0"/>
    <n v="0"/>
    <s v="N/A"/>
    <e v="#VALUE!"/>
    <e v="#VALUE!"/>
    <e v="#VALUE!"/>
    <e v="#VALUE!"/>
    <e v="#VALUE!"/>
    <n v="0"/>
    <n v="306181202.30001646"/>
    <n v="4592718034.500247"/>
    <e v="#VALUE!"/>
    <e v="#VALUE!"/>
    <e v="#VALUE!"/>
  </r>
  <r>
    <s v="Belize"/>
    <s v="BLZ"/>
    <s v="Upper middle income"/>
    <x v="5"/>
    <s v="LAC"/>
    <n v="457.1136934673367"/>
    <n v="308595"/>
    <n v="461277"/>
    <n v="97.2"/>
    <n v="12915.756000000012"/>
    <n v="12915.756000000012"/>
    <n v="361.11111111111109"/>
    <n v="4664023.0000000037"/>
    <n v="1.8630000000000001E-2"/>
    <n v="86890.748490000071"/>
    <n v="130336.12273500011"/>
    <n v="4794359.1227350039"/>
    <n v="4794359.1227350039"/>
    <n v="14107420.288951172"/>
    <n v="211611304.33426759"/>
    <n v="2.2656441430754994E-2"/>
    <n v="7.5521471435849984E-3"/>
    <n v="6.7969324292264974E-2"/>
  </r>
  <r>
    <s v="Benin"/>
    <s v="BEN"/>
    <s v="Low income"/>
    <x v="4"/>
    <s v="SSA"/>
    <n v="68.964152792292879"/>
    <n v="9509798"/>
    <n v="15506762"/>
    <n v="75.099999999999994"/>
    <n v="3861183.7380000018"/>
    <n v="3861183.7380000018"/>
    <n v="64.824654622741761"/>
    <n v="250299902.25079712"/>
    <n v="1.8629999999999997E-2"/>
    <n v="4663087.1789323501"/>
    <n v="6994630.7683985252"/>
    <n v="257294533.01919565"/>
    <n v="257294533.01919565"/>
    <n v="358790876.29676551"/>
    <n v="5381863144.4514828"/>
    <n v="4.7807706385930217E-2"/>
    <n v="1.5935902128643407E-2"/>
    <n v="0.14342311915779066"/>
  </r>
  <r>
    <s v="Bermuda"/>
    <s v="BMU"/>
    <s v="High income: nonOECD"/>
    <x v="6"/>
    <s v="N/A"/>
    <s v="N/A"/>
    <n v="65124"/>
    <n v="66524"/>
    <s v="N/A"/>
    <e v="#VALUE!"/>
    <n v="0"/>
    <s v="N/A"/>
    <e v="#VALUE!"/>
    <e v="#VALUE!"/>
    <e v="#VALUE!"/>
    <e v="#VALUE!"/>
    <e v="#VALUE!"/>
    <n v="0"/>
    <n v="0"/>
    <n v="0"/>
    <e v="#VALUE!"/>
    <e v="#VALUE!"/>
    <e v="#VALUE!"/>
  </r>
  <r>
    <s v="Bhutan"/>
    <s v="BTN"/>
    <s v="Lower middle income"/>
    <x v="0"/>
    <s v="S Asia"/>
    <n v="25.998990717254753"/>
    <n v="716939"/>
    <n v="897761"/>
    <n v="96.2"/>
    <n v="34114.917999999932"/>
    <n v="34114.917999999932"/>
    <n v="56.81818181818182"/>
    <n v="1938347.6136363598"/>
    <n v="1.8630000000000001E-2"/>
    <n v="36111.416042045385"/>
    <n v="54167.124063068077"/>
    <n v="1992514.7376994279"/>
    <n v="1992514.7376994279"/>
    <n v="384755041.17597884"/>
    <n v="5771325617.6396828"/>
    <n v="3.4524386071883308E-4"/>
    <n v="1.1508128690627768E-4"/>
    <n v="1.0357315821564992E-3"/>
  </r>
  <r>
    <s v="Bolivia"/>
    <s v="BOL"/>
    <s v="Lower middle income"/>
    <x v="5"/>
    <s v="LAC"/>
    <n v="457.1136934673367"/>
    <n v="10156601"/>
    <n v="13665316"/>
    <n v="87.3"/>
    <n v="1735495.132"/>
    <n v="1735495.132"/>
    <n v="205.0412021328163"/>
    <n v="355848008.16093069"/>
    <n v="1.8630000000000001E-2"/>
    <n v="6629448.3920381395"/>
    <n v="9944172.5880572088"/>
    <n v="365792180.74898791"/>
    <n v="365792180.74898791"/>
    <n v="3943593093.8863621"/>
    <n v="59153896408.295433"/>
    <n v="6.1837377241254921E-3"/>
    <n v="2.0612459080418307E-3"/>
    <n v="1.8551213172376475E-2"/>
  </r>
  <r>
    <s v="Bosnia and Herzegovina"/>
    <s v="BIH"/>
    <s v="Upper middle income"/>
    <x v="1"/>
    <s v="N/A"/>
    <s v="N/A"/>
    <n v="3845929"/>
    <n v="3700255"/>
    <n v="99.2"/>
    <n v="29602.040000000026"/>
    <n v="29602.040000000026"/>
    <s v="N/A"/>
    <e v="#VALUE!"/>
    <e v="#VALUE!"/>
    <e v="#VALUE!"/>
    <e v="#VALUE!"/>
    <e v="#VALUE!"/>
    <n v="0"/>
    <n v="595625627.44246328"/>
    <n v="8934384411.6369495"/>
    <e v="#VALUE!"/>
    <e v="#VALUE!"/>
    <e v="#VALUE!"/>
  </r>
  <r>
    <s v="Botswana"/>
    <s v="BWA"/>
    <s v="Upper middle income"/>
    <x v="4"/>
    <s v="SSA"/>
    <n v="68.964152792292879"/>
    <n v="1969341"/>
    <n v="2347860"/>
    <n v="96.8"/>
    <n v="75131.520000000062"/>
    <n v="75131.520000000062"/>
    <n v="465.34653465346537"/>
    <n v="34962192.475247554"/>
    <n v="1.8630000000000001E-2"/>
    <n v="651345.64581386198"/>
    <n v="977018.46872079303"/>
    <n v="35939210.943968348"/>
    <n v="35939210.943968348"/>
    <n v="686157389.38852191"/>
    <n v="10292360840.827829"/>
    <n v="3.4918335549803466E-3"/>
    <n v="1.1639445183267822E-3"/>
    <n v="1.0475500664941038E-2"/>
  </r>
  <r>
    <s v="Brazil"/>
    <s v="BRA"/>
    <s v="Upper middle income"/>
    <x v="5"/>
    <s v="LAC"/>
    <n v="457.1136934673367"/>
    <n v="195210154"/>
    <n v="222748294"/>
    <n v="96.9"/>
    <n v="6905197.1139999814"/>
    <n v="6905197.1139999814"/>
    <n v="607.23378105521908"/>
    <n v="4193068952.4657955"/>
    <n v="1.8630000000000001E-2"/>
    <n v="78116874.584437773"/>
    <n v="117175311.87665667"/>
    <n v="4310244264.342452"/>
    <n v="4310244264.342452"/>
    <n v="131651047125.59688"/>
    <n v="1974765706883.9531"/>
    <n v="2.1826610869923025E-3"/>
    <n v="7.275536956641009E-4"/>
    <n v="6.5479832609769079E-3"/>
  </r>
  <r>
    <s v="Brunei Darussalam"/>
    <s v="BRN"/>
    <s v="High income: nonOECD"/>
    <x v="3"/>
    <s v="N/A"/>
    <s v="N/A"/>
    <n v="400569"/>
    <n v="499424"/>
    <s v="N/A"/>
    <e v="#VALUE!"/>
    <n v="0"/>
    <s v="N/A"/>
    <e v="#VALUE!"/>
    <e v="#VALUE!"/>
    <e v="#VALUE!"/>
    <e v="#VALUE!"/>
    <e v="#VALUE!"/>
    <n v="0"/>
    <n v="5618749657.8090668"/>
    <n v="84281244867.136002"/>
    <e v="#VALUE!"/>
    <e v="#VALUE!"/>
    <e v="#VALUE!"/>
  </r>
  <r>
    <s v="Bulgaria"/>
    <s v="BGR"/>
    <s v="Upper middle income"/>
    <x v="1"/>
    <s v="N/A"/>
    <s v="N/A"/>
    <n v="7395599"/>
    <n v="6213179"/>
    <n v="99.5"/>
    <n v="31065.895000000026"/>
    <n v="31065.895000000026"/>
    <s v="N/A"/>
    <e v="#VALUE!"/>
    <e v="#VALUE!"/>
    <e v="#VALUE!"/>
    <e v="#VALUE!"/>
    <e v="#VALUE!"/>
    <n v="0"/>
    <n v="1236205124.2998753"/>
    <n v="18543076864.498131"/>
    <e v="#VALUE!"/>
    <e v="#VALUE!"/>
    <e v="#VALUE!"/>
  </r>
  <r>
    <s v="Burkina Faso"/>
    <s v="BFA"/>
    <s v="Low income"/>
    <x v="4"/>
    <s v="SSA"/>
    <n v="68.964152792292879"/>
    <n v="15540284"/>
    <n v="26564341"/>
    <n v="78.2"/>
    <n v="5791026.3379999995"/>
    <n v="5791026.3379999995"/>
    <n v="32.750040134853108"/>
    <n v="189656344.99149141"/>
    <n v="1.8630000000000001E-2"/>
    <n v="3533297.707191485"/>
    <n v="5299946.5607872279"/>
    <n v="194956291.55227864"/>
    <n v="194956291.55227864"/>
    <n v="1409883719.9157445"/>
    <n v="21148255798.736168"/>
    <n v="9.2185517996207205E-3"/>
    <n v="3.0728505998735734E-3"/>
    <n v="2.765565539886216E-2"/>
  </r>
  <r>
    <s v="Burundi"/>
    <s v="BDI"/>
    <s v="Low income"/>
    <x v="4"/>
    <s v="SSA"/>
    <n v="68.964152792292879"/>
    <n v="9232753"/>
    <n v="16392402.999999998"/>
    <n v="74.7"/>
    <n v="4147277.9589999998"/>
    <n v="4147277.9589999998"/>
    <n v="51.029818628957884"/>
    <n v="211634842.05164462"/>
    <n v="1.8630000000000001E-2"/>
    <n v="3942757.1074221395"/>
    <n v="5914135.6611332092"/>
    <n v="217548977.71277782"/>
    <n v="217548977.71277782"/>
    <n v="551752484.64932442"/>
    <n v="8276287269.7398663"/>
    <n v="2.6285817616335066E-2"/>
    <n v="8.7619392054450219E-3"/>
    <n v="7.8857452849005194E-2"/>
  </r>
  <r>
    <s v="Cabo Verde"/>
    <s v="CPV"/>
    <s v="Lower middle income"/>
    <x v="4"/>
    <s v="SSA"/>
    <n v="68.964152792292879"/>
    <n v="487601"/>
    <n v="576734"/>
    <n v="88.2"/>
    <n v="68054.611999999994"/>
    <n v="68054.611999999994"/>
    <n v="68.964152792292879"/>
    <n v="4693328.6601882083"/>
    <n v="1.8630000000000001E-2"/>
    <n v="87436.712939306322"/>
    <n v="131155.06940895948"/>
    <n v="4824483.729597168"/>
    <n v="4824483.729597168"/>
    <n v="9544520.9551698435"/>
    <n v="143167814.32754764"/>
    <n v="3.3698102833081139E-2"/>
    <n v="1.1232700944360382E-2"/>
    <n v="0.10109430849924343"/>
  </r>
  <r>
    <s v="Cambodia"/>
    <s v="KHM"/>
    <s v="Low income"/>
    <x v="3"/>
    <s v="SE Asia"/>
    <n v="286.39139284675775"/>
    <n v="14364931"/>
    <n v="19143612"/>
    <n v="66.3"/>
    <n v="6451397.2440000018"/>
    <n v="6451397.2440000018"/>
    <n v="210.04221954161642"/>
    <n v="1355065796.2744274"/>
    <n v="1.8630000000000001E-2"/>
    <n v="25244875.784592584"/>
    <n v="37867313.676888876"/>
    <n v="1392933109.9513164"/>
    <n v="1392933109.9513164"/>
    <n v="433167180.30280077"/>
    <n v="6497507704.5420113"/>
    <n v="0.21437960111653301"/>
    <n v="7.1459867038844341E-2"/>
    <n v="0.64313880334959905"/>
  </r>
  <r>
    <s v="Cameroon"/>
    <s v="CMR"/>
    <s v="Lower middle income"/>
    <x v="4"/>
    <s v="SSA"/>
    <n v="68.964152792292879"/>
    <n v="20624343"/>
    <n v="33074214.999999996"/>
    <n v="72.099999999999994"/>
    <n v="9227705.9849999994"/>
    <n v="9227705.9849999994"/>
    <n v="51.039976397698773"/>
    <n v="470981895.67930365"/>
    <n v="1.8630000000000001E-2"/>
    <n v="8774392.7165054269"/>
    <n v="13161589.07475814"/>
    <n v="484143484.75406176"/>
    <n v="484143484.75406176"/>
    <n v="2416929494.6420951"/>
    <n v="36253942419.631424"/>
    <n v="1.3354229980017269E-2"/>
    <n v="4.4514099933390897E-3"/>
    <n v="4.0062689940051806E-2"/>
  </r>
  <r>
    <s v="Canada"/>
    <s v="CAN"/>
    <s v="High income: OECD"/>
    <x v="6"/>
    <s v="N/A"/>
    <s v="N/A"/>
    <n v="34005274"/>
    <n v="40616997"/>
    <n v="99.8"/>
    <n v="81233.994000000079"/>
    <n v="81233.994000000079"/>
    <s v="N/A"/>
    <e v="#VALUE!"/>
    <e v="#VALUE!"/>
    <e v="#VALUE!"/>
    <e v="#VALUE!"/>
    <e v="#VALUE!"/>
    <n v="0"/>
    <n v="66550602359.385544"/>
    <n v="998259035390.7832"/>
    <e v="#VALUE!"/>
    <e v="#VALUE!"/>
    <e v="#VALUE!"/>
  </r>
  <r>
    <s v="Cayman Islands"/>
    <s v="CYM"/>
    <s v="High income: nonOECD"/>
    <x v="5"/>
    <s v="LAC"/>
    <n v="457.1136934673367"/>
    <n v="55509"/>
    <n v="66552"/>
    <n v="95.6"/>
    <n v="2928.2880000000027"/>
    <n v="2928.2880000000027"/>
    <n v="457.1136934673367"/>
    <n v="1338560.5432160818"/>
    <n v="1.8630000000000001E-2"/>
    <n v="24937.382920115604"/>
    <n v="37406.074380173406"/>
    <n v="1375966.6175962551"/>
    <n v="1375966.6175962551"/>
    <s v="N/A"/>
    <e v="#VALUE!"/>
    <e v="#VALUE!"/>
    <e v="#VALUE!"/>
    <e v="#VALUE!"/>
  </r>
  <r>
    <s v="Central African Republic"/>
    <s v="CAF"/>
    <s v="Low income"/>
    <x v="4"/>
    <s v="SSA"/>
    <n v="68.964152792292879"/>
    <n v="4349921"/>
    <n v="6318381"/>
    <n v="67.2"/>
    <n v="2072428.9679999996"/>
    <n v="2072428.9679999996"/>
    <n v="68.964152792292879"/>
    <n v="142923308.00032583"/>
    <n v="1.8630000000000001E-2"/>
    <n v="2662661.2280460703"/>
    <n v="3993991.8420691052"/>
    <n v="146917299.84239495"/>
    <n v="146917299.84239495"/>
    <n v="165997754.82625589"/>
    <n v="2489966322.3938384"/>
    <n v="5.9003729697496295E-2"/>
    <n v="1.966790989916543E-2"/>
    <n v="0.17701118909248886"/>
  </r>
  <r>
    <s v="Chad"/>
    <s v="TCD"/>
    <s v="Low income"/>
    <x v="4"/>
    <s v="SSA"/>
    <n v="68.964152792292879"/>
    <n v="11720781"/>
    <n v="20877527"/>
    <n v="49.7"/>
    <n v="10501396.080999998"/>
    <n v="10501396.080999998"/>
    <n v="67.902088231226656"/>
    <n v="713066723.24311972"/>
    <n v="1.8630000000000001E-2"/>
    <n v="13284433.054019321"/>
    <n v="19926649.581028979"/>
    <n v="732993372.82414865"/>
    <n v="732993372.82414865"/>
    <n v="3554600897.019742"/>
    <n v="53319013455.296127"/>
    <n v="1.3747316863593265E-2"/>
    <n v="4.582438954531089E-3"/>
    <n v="4.1241950590779793E-2"/>
  </r>
  <r>
    <s v="Channel Islands"/>
    <s v="CHI"/>
    <s v="High income: nonOECD"/>
    <x v="1"/>
    <s v="N/A"/>
    <s v="N/A"/>
    <n v="159518"/>
    <n v="173587"/>
    <s v="N/A"/>
    <e v="#VALUE!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Chile"/>
    <s v="CHL"/>
    <s v="High income: OECD"/>
    <x v="5"/>
    <s v="LAC"/>
    <n v="457.1136934673367"/>
    <n v="17150760"/>
    <n v="19814578"/>
    <n v="98.2"/>
    <n v="356662.40400000033"/>
    <n v="356662.40400000033"/>
    <n v="513.05683563748084"/>
    <n v="182988084.38709697"/>
    <n v="1.8630000000000001E-2"/>
    <n v="3409068.0121316169"/>
    <n v="5113602.0181974247"/>
    <n v="188101686.40529439"/>
    <n v="188101686.40529439"/>
    <n v="42609019124.162964"/>
    <n v="639135286862.44446"/>
    <n v="2.9430652675851689E-4"/>
    <n v="9.8102175586172301E-5"/>
    <n v="8.8291958027555072E-4"/>
  </r>
  <r>
    <s v="China"/>
    <s v="CHN"/>
    <s v="Upper middle income"/>
    <x v="3"/>
    <s v="E Asia"/>
    <n v="530.71832220241151"/>
    <n v="1337705000"/>
    <n v="1453297304"/>
    <n v="91.5"/>
    <n v="123530270.83999994"/>
    <n v="123530270.83999994"/>
    <n v="534.09353215456349"/>
    <n v="65976718680.94545"/>
    <n v="1.8630000000000001E-2"/>
    <n v="1229146269.0260139"/>
    <n v="1843719403.5390208"/>
    <n v="67820438084.484474"/>
    <n v="67820438084.484474"/>
    <n v="412412144329.84637"/>
    <n v="6186182164947.6953"/>
    <n v="1.096321386537409E-2"/>
    <n v="3.6544046217913632E-3"/>
    <n v="3.2889641596122267E-2"/>
  </r>
  <r>
    <s v="Colombia"/>
    <s v="COL"/>
    <s v="Upper middle income"/>
    <x v="5"/>
    <s v="LAC"/>
    <n v="457.1136934673367"/>
    <n v="46444798"/>
    <n v="57219408"/>
    <n v="91"/>
    <n v="5149746.7199999979"/>
    <n v="5149746.7199999979"/>
    <n v="398.55942376950782"/>
    <n v="2052480085.2821121"/>
    <n v="1.8630000000000001E-2"/>
    <n v="38237703.988805749"/>
    <n v="57356555.983208627"/>
    <n v="2109836641.2653208"/>
    <n v="2109836641.2653208"/>
    <n v="27613795592.874363"/>
    <n v="414206933893.11542"/>
    <n v="5.0936777456500916E-3"/>
    <n v="1.6978925818833641E-3"/>
    <n v="1.5281033236950275E-2"/>
  </r>
  <r>
    <s v="Comoros"/>
    <s v="COM"/>
    <s v="Low income"/>
    <x v="4"/>
    <s v="SSA"/>
    <n v="68.964152792292879"/>
    <n v="683081"/>
    <n v="1057197"/>
    <n v="95.1"/>
    <n v="51802.653000000049"/>
    <n v="51802.653000000049"/>
    <n v="268.51851851851853"/>
    <n v="13909971.638888903"/>
    <n v="1.8630000000000001E-2"/>
    <n v="259142.77163250028"/>
    <n v="388714.15744875045"/>
    <n v="14298685.796337653"/>
    <n v="14298685.796337653"/>
    <n v="15685686.317566991"/>
    <n v="235285294.76350486"/>
    <n v="6.0771693406125794E-2"/>
    <n v="2.0257231135375267E-2"/>
    <n v="0.18231508021837742"/>
  </r>
  <r>
    <s v="Congo, Dem. Rep."/>
    <s v="ZAR"/>
    <s v="Low income"/>
    <x v="4"/>
    <s v="SSA"/>
    <n v="68.964152792292879"/>
    <n v="62191161"/>
    <n v="103743184"/>
    <n v="46"/>
    <n v="56021319.360000007"/>
    <n v="56021319.360000007"/>
    <n v="68.964152792292879"/>
    <n v="3863462827.9688754"/>
    <n v="1.8630000000000001E-2"/>
    <n v="71976312.485060155"/>
    <n v="107964468.72759023"/>
    <n v="3971427296.6964655"/>
    <n v="3971427296.6964655"/>
    <n v="7681552331.5239582"/>
    <n v="115223284972.85937"/>
    <n v="3.4467228543535518E-2"/>
    <n v="1.1489076181178505E-2"/>
    <n v="0.10340168563060656"/>
  </r>
  <r>
    <s v="Congo, Rep."/>
    <s v="COG"/>
    <s v="Lower middle income"/>
    <x v="4"/>
    <s v="SSA"/>
    <n v="68.964152792292879"/>
    <n v="4111715"/>
    <n v="6753771"/>
    <n v="74.3"/>
    <n v="1735719.1470000001"/>
    <n v="1735719.1470000001"/>
    <n v="68.964152792292879"/>
    <n v="119702400.45821626"/>
    <n v="1.8630000000000001E-2"/>
    <n v="2230055.7205365691"/>
    <n v="3345083.5808048537"/>
    <n v="123047484.03902112"/>
    <n v="123047484.03902112"/>
    <n v="7999753757.4398327"/>
    <n v="119996306361.59749"/>
    <n v="1.0254272633044986E-3"/>
    <n v="3.4180908776816621E-4"/>
    <n v="3.0762817899134959E-3"/>
  </r>
  <r>
    <s v="Costa Rica"/>
    <s v="CRI"/>
    <s v="Upper middle income"/>
    <x v="5"/>
    <s v="LAC"/>
    <n v="457.1136934673367"/>
    <n v="4669685"/>
    <n v="5759573"/>
    <n v="96.3"/>
    <n v="213104.20100000018"/>
    <n v="213104.20100000018"/>
    <n v="491.41630901287556"/>
    <n v="104722879.89055803"/>
    <n v="1.8630000000000001E-2"/>
    <n v="1950987.2523610962"/>
    <n v="2926480.8785416447"/>
    <n v="107649360.76909968"/>
    <n v="107649360.76909968"/>
    <n v="447691904.68022686"/>
    <n v="6715378570.2034025"/>
    <n v="1.6030274338776272E-2"/>
    <n v="5.3434247795920899E-3"/>
    <n v="4.8090823016328804E-2"/>
  </r>
  <r>
    <s v="Cote d'Ivoire"/>
    <s v="CIV"/>
    <s v="Lower middle income"/>
    <x v="4"/>
    <s v="SSA"/>
    <n v="68.964152792292879"/>
    <n v="18976588"/>
    <n v="29227188"/>
    <n v="79.7"/>
    <n v="5933119.1639999989"/>
    <n v="5933119.1639999989"/>
    <n v="68.964152792292879"/>
    <n v="409172536.56097692"/>
    <n v="1.8630000000000001E-2"/>
    <n v="7622884.3561310004"/>
    <n v="11434326.534196502"/>
    <n v="420606863.09517342"/>
    <n v="420606863.09517342"/>
    <n v="1791544935.1129889"/>
    <n v="26873174026.694836"/>
    <n v="1.5651551345492641E-2"/>
    <n v="5.2171837818308798E-3"/>
    <n v="4.6954654036477923E-2"/>
  </r>
  <r>
    <s v="Croatia"/>
    <s v="HRV"/>
    <s v="High income: nonOECD"/>
    <x v="1"/>
    <s v="N/A"/>
    <n v="270.56505523889945"/>
    <n v="4417800"/>
    <n v="4015138"/>
    <n v="98.5"/>
    <n v="60227.070000000051"/>
    <n v="60227.070000000051"/>
    <n v="270.56505523889945"/>
    <n v="16295340.521427078"/>
    <n v="1.8630000000000001E-2"/>
    <n v="303582.1939141865"/>
    <n v="455373.29087127978"/>
    <n v="16750713.812298357"/>
    <n v="16750713.812298357"/>
    <n v="918544973.75403845"/>
    <n v="13778174606.310577"/>
    <n v="1.2157425995041695E-3"/>
    <n v="4.0524753316805649E-4"/>
    <n v="3.6472277985125081E-3"/>
  </r>
  <r>
    <s v="Cuba"/>
    <s v="CUB"/>
    <s v="Upper middle income"/>
    <x v="5"/>
    <s v="LAC"/>
    <n v="457.1136934673367"/>
    <n v="11281768"/>
    <n v="10847333"/>
    <n v="93.5"/>
    <n v="705076.64499999944"/>
    <n v="705076.64499999944"/>
    <n v="367.28395061728395"/>
    <n v="258963335.66358003"/>
    <n v="1.8630000000000001E-2"/>
    <n v="4824486.9434124958"/>
    <n v="7236730.4151187437"/>
    <n v="266200066.07869878"/>
    <n v="266200066.07869878"/>
    <n v="3082852547.1150317"/>
    <n v="46242788206.725479"/>
    <n v="5.7565747309324886E-3"/>
    <n v="1.9188582436441626E-3"/>
    <n v="1.7269724192797466E-2"/>
  </r>
  <r>
    <s v="Curacao"/>
    <s v="CUW"/>
    <s v="High income: nonOECD"/>
    <x v="5"/>
    <s v="LAC"/>
    <n v="457.1136934673367"/>
    <n v="149311"/>
    <n v="178776"/>
    <s v="N/A"/>
    <e v="#VALUE!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Cyprus"/>
    <s v="CYP"/>
    <s v="High income: nonOECD"/>
    <x v="1"/>
    <s v="N/A"/>
    <s v="N/A"/>
    <n v="1103685"/>
    <n v="1306312"/>
    <n v="100"/>
    <n v="0"/>
    <n v="0"/>
    <s v="N/A"/>
    <e v="#VALUE!"/>
    <e v="#VALUE!"/>
    <e v="#VALUE!"/>
    <e v="#VALUE!"/>
    <e v="#VALUE!"/>
    <n v="0"/>
    <n v="2097439.0563930012"/>
    <n v="31461585.845895018"/>
    <e v="#VALUE!"/>
    <e v="#VALUE!"/>
    <e v="#VALUE!"/>
  </r>
  <r>
    <s v="Czech Republic"/>
    <s v="CZE"/>
    <s v="High income: OECD"/>
    <x v="1"/>
    <s v="N/A"/>
    <s v="N/A"/>
    <n v="10474410"/>
    <n v="11053125"/>
    <n v="99.8"/>
    <n v="22106.250000000018"/>
    <n v="22106.250000000018"/>
    <s v="N/A"/>
    <e v="#VALUE!"/>
    <e v="#VALUE!"/>
    <e v="#VALUE!"/>
    <e v="#VALUE!"/>
    <e v="#VALUE!"/>
    <n v="0"/>
    <n v="1366868039.2637777"/>
    <n v="20503020588.956665"/>
    <e v="#VALUE!"/>
    <e v="#VALUE!"/>
    <e v="#VALUE!"/>
  </r>
  <r>
    <s v="Denmark"/>
    <s v="DNK"/>
    <s v="High income: OECD"/>
    <x v="1"/>
    <s v="N/A"/>
    <s v="N/A"/>
    <n v="5547683"/>
    <n v="6009458"/>
    <n v="100"/>
    <n v="0"/>
    <n v="0"/>
    <s v="N/A"/>
    <e v="#VALUE!"/>
    <e v="#VALUE!"/>
    <e v="#VALUE!"/>
    <e v="#VALUE!"/>
    <e v="#VALUE!"/>
    <n v="0"/>
    <n v="6826937316.8512735"/>
    <n v="102404059752.7691"/>
    <e v="#VALUE!"/>
    <e v="#VALUE!"/>
    <e v="#VALUE!"/>
  </r>
  <r>
    <s v="Djibouti"/>
    <s v="DJI"/>
    <s v="Lower middle income"/>
    <x v="2"/>
    <s v="N/A"/>
    <n v="412.83830673143649"/>
    <n v="834036"/>
    <n v="1075146"/>
    <n v="91.8"/>
    <n v="88161.972000000082"/>
    <n v="88161.972000000082"/>
    <n v="356.58914728682169"/>
    <n v="31437602.418604679"/>
    <n v="1.8630000000000001E-2"/>
    <n v="585682.53305860516"/>
    <n v="878523.79958790774"/>
    <n v="32316126.218192589"/>
    <n v="32316126.218192589"/>
    <s v="N/A"/>
    <e v="#VALUE!"/>
    <e v="#VALUE!"/>
    <e v="#VALUE!"/>
    <e v="#VALUE!"/>
  </r>
  <r>
    <s v="Dominica"/>
    <s v="DMA"/>
    <s v="Upper middle income"/>
    <x v="5"/>
    <s v="LAC"/>
    <n v="457.1136934673367"/>
    <n v="71167"/>
    <n v="76952"/>
    <s v="N/A"/>
    <e v="#VALUE!"/>
    <n v="0"/>
    <s v="N/A"/>
    <e v="#VALUE!"/>
    <e v="#VALUE!"/>
    <e v="#VALUE!"/>
    <e v="#VALUE!"/>
    <e v="#VALUE!"/>
    <n v="0"/>
    <n v="491062.11491866165"/>
    <n v="7365931.7237799251"/>
    <e v="#VALUE!"/>
    <e v="#VALUE!"/>
    <e v="#VALUE!"/>
  </r>
  <r>
    <s v="Dominican Republic"/>
    <s v="DOM"/>
    <s v="Upper middle income"/>
    <x v="5"/>
    <s v="LAC"/>
    <n v="457.1136934673367"/>
    <n v="10016797"/>
    <n v="12218615"/>
    <n v="81.8"/>
    <n v="2223787.9300000006"/>
    <n v="2223787.9300000006"/>
    <n v="457.1136934673367"/>
    <n v="1016523914.1703835"/>
    <n v="1.8630000000000001E-2"/>
    <n v="18937840.520994246"/>
    <n v="28406760.781491369"/>
    <n v="1044930674.9518749"/>
    <n v="1044930674.9518749"/>
    <n v="129924258.050329"/>
    <n v="1948863870.754935"/>
    <n v="0.53617427601400303"/>
    <n v="0.17872475867133436"/>
    <n v="1.6085228280420092"/>
  </r>
  <r>
    <s v="Ecuador"/>
    <s v="ECU"/>
    <s v="Upper middle income"/>
    <x v="5"/>
    <s v="LAC"/>
    <n v="457.1136934673367"/>
    <n v="15001072"/>
    <n v="19648546"/>
    <n v="85.3"/>
    <n v="2888336.2620000006"/>
    <n v="2888336.2620000006"/>
    <n v="3565.9373151981076"/>
    <n v="10299626055.505619"/>
    <n v="1.8630000000000001E-2"/>
    <n v="191882033.41406968"/>
    <n v="287823050.12110454"/>
    <n v="10587449105.626724"/>
    <n v="10587449105.626724"/>
    <n v="12579420182.430964"/>
    <n v="188691302736.46445"/>
    <n v="5.6109894584880131E-2"/>
    <n v="1.8703298194960045E-2"/>
    <n v="0.16832968375464039"/>
  </r>
  <r>
    <s v="Egypt, Arab Rep."/>
    <s v="EGY"/>
    <s v="Lower middle income"/>
    <x v="2"/>
    <s v="N Africa"/>
    <n v="412.83830673143649"/>
    <n v="78075705"/>
    <n v="102552797"/>
    <n v="99.3"/>
    <n v="717869.57900000061"/>
    <n v="717869.57900000061"/>
    <s v="N/A"/>
    <e v="#VALUE!"/>
    <e v="#VALUE!"/>
    <e v="#VALUE!"/>
    <e v="#VALUE!"/>
    <e v="#VALUE!"/>
    <n v="0"/>
    <n v="26385352958.727764"/>
    <n v="395780294380.91644"/>
    <e v="#VALUE!"/>
    <e v="#VALUE!"/>
    <e v="#VALUE!"/>
  </r>
  <r>
    <s v="El Salvador"/>
    <s v="SLV"/>
    <s v="Lower middle income"/>
    <x v="5"/>
    <s v="LAC"/>
    <n v="457.1136934673367"/>
    <n v="6218195"/>
    <n v="6874758"/>
    <n v="90"/>
    <n v="687475.79999999981"/>
    <n v="687475.79999999981"/>
    <n v="326.61290322580646"/>
    <n v="224538466.93548381"/>
    <n v="1.8630000000000001E-2"/>
    <n v="4183151.6390080638"/>
    <n v="6274727.4585120957"/>
    <n v="230813194.39399591"/>
    <n v="230813194.39399591"/>
    <n v="390192552.90387428"/>
    <n v="5852888293.5581141"/>
    <n v="3.9435776460664165E-2"/>
    <n v="1.3145258820221387E-2"/>
    <n v="0.1183073293819925"/>
  </r>
  <r>
    <s v="Equatorial Guinea"/>
    <s v="GNQ"/>
    <s v="High income: nonOECD"/>
    <x v="4"/>
    <s v="SSA"/>
    <n v="68.964152792292879"/>
    <n v="696167"/>
    <n v="1138788"/>
    <s v="N/A"/>
    <e v="#VALUE!"/>
    <n v="0"/>
    <n v="199.58419958419958"/>
    <e v="#VALUE!"/>
    <e v="#VALUE!"/>
    <e v="#VALUE!"/>
    <e v="#VALUE!"/>
    <e v="#VALUE!"/>
    <n v="0"/>
    <n v="6226958917.0209513"/>
    <n v="93404383755.31427"/>
    <e v="#VALUE!"/>
    <e v="#VALUE!"/>
    <e v="#VALUE!"/>
  </r>
  <r>
    <s v="Eritrea"/>
    <s v="ERI"/>
    <s v="Low income"/>
    <x v="4"/>
    <s v="SSA"/>
    <n v="68.964152792292879"/>
    <n v="5741159"/>
    <n v="9782455"/>
    <s v="N/A"/>
    <e v="#VALUE!"/>
    <n v="0"/>
    <n v="67.75170325510976"/>
    <e v="#VALUE!"/>
    <e v="#VALUE!"/>
    <e v="#VALUE!"/>
    <e v="#VALUE!"/>
    <e v="#VALUE!"/>
    <n v="0"/>
    <n v="76822965.242555067"/>
    <n v="1152344478.6383259"/>
    <e v="#VALUE!"/>
    <e v="#VALUE!"/>
    <e v="#VALUE!"/>
  </r>
  <r>
    <s v="Estonia"/>
    <s v="EST"/>
    <s v="High income: OECD"/>
    <x v="1"/>
    <s v="N/A"/>
    <s v="N/A"/>
    <n v="1336887"/>
    <n v="1212150"/>
    <n v="99.1"/>
    <n v="10909.350000000009"/>
    <n v="10909.350000000009"/>
    <s v="N/A"/>
    <e v="#VALUE!"/>
    <e v="#VALUE!"/>
    <e v="#VALUE!"/>
    <e v="#VALUE!"/>
    <e v="#VALUE!"/>
    <n v="0"/>
    <n v="524357312.05145437"/>
    <n v="7865359680.7718153"/>
    <e v="#VALUE!"/>
    <e v="#VALUE!"/>
    <e v="#VALUE!"/>
  </r>
  <r>
    <s v="Ethiopia"/>
    <s v="ETH"/>
    <s v="Low income"/>
    <x v="4"/>
    <s v="SSA"/>
    <n v="68.964152792292879"/>
    <n v="87095281"/>
    <n v="137669707"/>
    <n v="47.8"/>
    <n v="71863587.054000005"/>
    <n v="71863587.054000005"/>
    <n v="72.395309194717711"/>
    <n v="5202586604.6158428"/>
    <n v="1.8630000000000001E-2"/>
    <n v="96924188.443993151"/>
    <n v="145386282.66598973"/>
    <n v="5347972887.2818327"/>
    <n v="5347972887.2818327"/>
    <n v="5463318403.1045046"/>
    <n v="81949776046.567566"/>
    <n v="6.5259151949882979E-2"/>
    <n v="2.1753050649960991E-2"/>
    <n v="0.1957774558496489"/>
  </r>
  <r>
    <s v="Faeroe Islands"/>
    <s v="FRO"/>
    <s v="High income: nonOECD"/>
    <x v="1"/>
    <s v="N/A"/>
    <s v="N/A"/>
    <n v="49581"/>
    <n v="51875"/>
    <s v="N/A"/>
    <e v="#VALUE!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Fiji"/>
    <s v="FJI"/>
    <s v="Upper middle income"/>
    <x v="3"/>
    <s v="Oceania"/>
    <n v="162.92664529511597"/>
    <n v="860559"/>
    <n v="939469"/>
    <n v="96.3"/>
    <n v="34760.353000000032"/>
    <n v="34760.353000000032"/>
    <n v="416.66666666666669"/>
    <n v="14483480.416666681"/>
    <n v="1.8630000000000001E-2"/>
    <n v="269827.2401625003"/>
    <n v="404740.86024375045"/>
    <n v="14888221.276910432"/>
    <n v="14888221.276910432"/>
    <n v="87317583.851148248"/>
    <n v="1309763757.7672238"/>
    <n v="1.1367104325966869E-2"/>
    <n v="3.7890347753222896E-3"/>
    <n v="3.4101312977900602E-2"/>
  </r>
  <r>
    <s v="Finland"/>
    <s v="FIN"/>
    <s v="High income: OECD"/>
    <x v="1"/>
    <s v="N/A"/>
    <s v="N/A"/>
    <n v="5363352"/>
    <n v="5649744"/>
    <n v="100"/>
    <n v="0"/>
    <n v="0"/>
    <s v="N/A"/>
    <e v="#VALUE!"/>
    <e v="#VALUE!"/>
    <e v="#VALUE!"/>
    <e v="#VALUE!"/>
    <e v="#VALUE!"/>
    <n v="0"/>
    <n v="3328745232.5822215"/>
    <n v="49931178488.733322"/>
    <e v="#VALUE!"/>
    <e v="#VALUE!"/>
    <e v="#VALUE!"/>
  </r>
  <r>
    <s v="France"/>
    <s v="FRA"/>
    <s v="High income: OECD"/>
    <x v="1"/>
    <s v="N/A"/>
    <s v="N/A"/>
    <n v="65031235"/>
    <n v="69286370"/>
    <n v="100"/>
    <n v="0"/>
    <n v="0"/>
    <s v="N/A"/>
    <e v="#VALUE!"/>
    <e v="#VALUE!"/>
    <e v="#VALUE!"/>
    <e v="#VALUE!"/>
    <e v="#VALUE!"/>
    <n v="0"/>
    <n v="4406730484.3344297"/>
    <n v="66100957265.016449"/>
    <e v="#VALUE!"/>
    <e v="#VALUE!"/>
    <e v="#VALUE!"/>
  </r>
  <r>
    <s v="French Polynesia"/>
    <s v="PYF"/>
    <s v="High income: nonOECD"/>
    <x v="3"/>
    <s v="Oceania"/>
    <n v="162.92664529511597"/>
    <n v="268065"/>
    <n v="318041"/>
    <n v="100"/>
    <n v="0"/>
    <n v="0"/>
    <n v="470.58823529411762"/>
    <n v="0"/>
    <e v="#DIV/0!"/>
    <n v="0"/>
    <n v="0"/>
    <n v="0"/>
    <n v="0"/>
    <s v="N/A"/>
    <e v="#VALUE!"/>
    <e v="#VALUE!"/>
    <e v="#VALUE!"/>
    <e v="#VALUE!"/>
  </r>
  <r>
    <s v="Gabon"/>
    <s v="GAB"/>
    <s v="Upper middle income"/>
    <x v="4"/>
    <s v="SSA"/>
    <n v="68.964152792292879"/>
    <n v="1556222"/>
    <n v="2382369"/>
    <n v="91.1"/>
    <n v="212030.84100000019"/>
    <n v="212030.84100000019"/>
    <n v="288.34355828220856"/>
    <n v="61137727.159509249"/>
    <n v="1.8630000000000001E-2"/>
    <n v="1138995.8569816574"/>
    <n v="1708493.7854724862"/>
    <n v="62846220.944981739"/>
    <n v="62846220.944981739"/>
    <n v="6654882999.5966587"/>
    <n v="99823244993.949875"/>
    <n v="6.2957501480532662E-4"/>
    <n v="2.0985833826844222E-4"/>
    <n v="1.8887250444159797E-3"/>
  </r>
  <r>
    <s v="Gambia, The"/>
    <s v="GMB"/>
    <s v="Low income"/>
    <x v="4"/>
    <s v="SSA"/>
    <n v="68.964152792292879"/>
    <n v="1680640"/>
    <n v="3056357"/>
    <n v="88.9"/>
    <n v="339255.62699999998"/>
    <n v="339255.62699999998"/>
    <n v="68.964152792292879"/>
    <n v="23396476.896073122"/>
    <n v="1.8630000000000001E-2"/>
    <n v="435876.36457384226"/>
    <n v="653814.54686076345"/>
    <n v="24050291.442933884"/>
    <n v="24050291.442933884"/>
    <n v="45972784.152787477"/>
    <n v="689591762.29181218"/>
    <n v="3.4876129266690113E-2"/>
    <n v="1.1625376422230039E-2"/>
    <n v="0.10462838780007033"/>
  </r>
  <r>
    <s v="Georgia"/>
    <s v="GEO"/>
    <s v="Lower middle income"/>
    <x v="1"/>
    <s v="CCA"/>
    <n v="270.56505523889945"/>
    <n v="4452800"/>
    <n v="3953077"/>
    <n v="97.3"/>
    <n v="106733.0790000001"/>
    <n v="106733.0790000001"/>
    <n v="270.56505523889945"/>
    <n v="28878241.415452845"/>
    <n v="1.8630000000000001E-2"/>
    <n v="538001.63756988652"/>
    <n v="807002.45635482972"/>
    <n v="29685243.871807676"/>
    <n v="29685243.871807676"/>
    <n v="123856542.27513833"/>
    <n v="1857848134.127075"/>
    <n v="1.5978294095472734E-2"/>
    <n v="5.3260980318242442E-3"/>
    <n v="4.79348822864182E-2"/>
  </r>
  <r>
    <s v="Germany"/>
    <s v="DEU"/>
    <s v="High income: OECD"/>
    <x v="1"/>
    <s v="N/A"/>
    <s v="N/A"/>
    <n v="81776930"/>
    <n v="79551501"/>
    <n v="100"/>
    <n v="0"/>
    <n v="0"/>
    <s v="N/A"/>
    <e v="#VALUE!"/>
    <e v="#VALUE!"/>
    <e v="#VALUE!"/>
    <e v="#VALUE!"/>
    <e v="#VALUE!"/>
    <n v="0"/>
    <n v="6763891296.0023947"/>
    <n v="101458369440.03592"/>
    <e v="#VALUE!"/>
    <e v="#VALUE!"/>
    <e v="#VALUE!"/>
  </r>
  <r>
    <s v="Ghana"/>
    <s v="GHA"/>
    <s v="Lower middle income"/>
    <x v="4"/>
    <s v="SSA"/>
    <n v="68.964152792292879"/>
    <n v="24262901"/>
    <n v="35264291"/>
    <n v="84.7"/>
    <n v="5395436.523000001"/>
    <n v="5395436.523000001"/>
    <n v="44.400592007893437"/>
    <n v="239560575.76221019"/>
    <n v="1.8629999999999997E-2"/>
    <n v="4463013.5264499756"/>
    <n v="6694520.2896749629"/>
    <n v="246255096.05188516"/>
    <n v="246255096.05188516"/>
    <n v="4194607406.4218354"/>
    <n v="62919111096.32753"/>
    <n v="3.9138362217939629E-3"/>
    <n v="1.3046120739313208E-3"/>
    <n v="1.174150866538189E-2"/>
  </r>
  <r>
    <s v="Greece"/>
    <s v="GRC"/>
    <s v="High income: OECD"/>
    <x v="1"/>
    <s v="N/A"/>
    <s v="N/A"/>
    <n v="11307502"/>
    <n v="10975530"/>
    <n v="99.8"/>
    <n v="21951.060000000019"/>
    <n v="21951.060000000019"/>
    <s v="N/A"/>
    <e v="#VALUE!"/>
    <e v="#VALUE!"/>
    <e v="#VALUE!"/>
    <e v="#VALUE!"/>
    <e v="#VALUE!"/>
    <n v="0"/>
    <n v="629296452.81922984"/>
    <n v="9439446792.2884483"/>
    <e v="#VALUE!"/>
    <e v="#VALUE!"/>
    <e v="#VALUE!"/>
  </r>
  <r>
    <s v="Greenland"/>
    <s v="GRL"/>
    <s v="High income: nonOECD"/>
    <x v="1"/>
    <s v="N/A"/>
    <s v="N/A"/>
    <n v="56905"/>
    <n v="54649"/>
    <n v="100"/>
    <n v="0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Grenada"/>
    <s v="GRD"/>
    <s v="Upper middle income"/>
    <x v="5"/>
    <s v="LAC"/>
    <n v="457.1136934673367"/>
    <n v="104677"/>
    <n v="107433"/>
    <n v="96.7"/>
    <n v="3545.2889999999911"/>
    <n v="3545.2889999999911"/>
    <n v="333.33333333333331"/>
    <n v="1181762.999999997"/>
    <n v="1.8630000000000001E-2"/>
    <n v="22016.244689999945"/>
    <n v="33024.367034999916"/>
    <n v="1214787.3670349969"/>
    <n v="1214787.3670349969"/>
    <n v="0"/>
    <n v="0"/>
    <e v="#DIV/0!"/>
    <e v="#DIV/0!"/>
    <e v="#DIV/0!"/>
  </r>
  <r>
    <s v="Guam"/>
    <s v="GUM"/>
    <s v="High income: nonOECD"/>
    <x v="3"/>
    <s v="Oceania"/>
    <n v="162.92664529511597"/>
    <n v="159440"/>
    <n v="200008"/>
    <n v="99.5"/>
    <n v="1000.0400000000009"/>
    <n v="1000.0400000000009"/>
    <n v="545.4545454545455"/>
    <n v="545476.36363636411"/>
    <n v="1.8630000000000001E-2"/>
    <n v="10162.224654545464"/>
    <n v="15243.336981818196"/>
    <n v="560719.70061818231"/>
    <n v="560719.70061818231"/>
    <s v="N/A"/>
    <e v="#VALUE!"/>
    <e v="#VALUE!"/>
    <e v="#VALUE!"/>
    <e v="#VALUE!"/>
  </r>
  <r>
    <s v="Guatemala"/>
    <s v="GTM"/>
    <s v="Lower middle income"/>
    <x v="5"/>
    <s v="LAC"/>
    <n v="457.1136934673367"/>
    <n v="14341576"/>
    <n v="22566243"/>
    <n v="93.2"/>
    <n v="1534504.5239999988"/>
    <n v="1534504.5239999988"/>
    <n v="371.25340599455041"/>
    <n v="569690031.04904592"/>
    <n v="1.8630000000000001E-2"/>
    <n v="10613325.278443726"/>
    <n v="15919987.91766559"/>
    <n v="585610018.96671152"/>
    <n v="585610018.96671152"/>
    <n v="1835017152.9300125"/>
    <n v="27525257293.950188"/>
    <n v="2.1275369480212761E-2"/>
    <n v="7.0917898267375875E-3"/>
    <n v="6.3826108440638282E-2"/>
  </r>
  <r>
    <s v="Guinea"/>
    <s v="GIN"/>
    <s v="Low income"/>
    <x v="4"/>
    <s v="SSA"/>
    <n v="68.964152792292879"/>
    <n v="10876033"/>
    <n v="17322136"/>
    <n v="72.8"/>
    <n v="4711620.9920000006"/>
    <n v="4711620.9920000006"/>
    <n v="171.56398104265404"/>
    <n v="808344454.55165887"/>
    <n v="1.8630000000000001E-2"/>
    <n v="15059457.188297406"/>
    <n v="22589185.782446109"/>
    <n v="830933640.33410501"/>
    <n v="830933640.33410501"/>
    <n v="1333953226.6564479"/>
    <n v="20009298399.846718"/>
    <n v="4.1527375109787476E-2"/>
    <n v="1.384245836992916E-2"/>
    <n v="0.12458212532936244"/>
  </r>
  <r>
    <s v="Guinea-Bissau"/>
    <s v="GNB"/>
    <s v="Low income"/>
    <x v="4"/>
    <s v="SSA"/>
    <n v="68.964152792292879"/>
    <n v="1586624"/>
    <n v="2472642"/>
    <n v="69.900000000000006"/>
    <n v="744265.24199999985"/>
    <n v="744265.24199999985"/>
    <n v="166.4548919949174"/>
    <n v="123886590.47268105"/>
    <n v="1.8630000000000001E-2"/>
    <n v="2308007.1805060478"/>
    <n v="3462010.7707590717"/>
    <n v="127348601.24344012"/>
    <n v="127348601.24344012"/>
    <n v="142038641.37615088"/>
    <n v="2130579620.6422632"/>
    <n v="5.9771810454589298E-2"/>
    <n v="1.9923936818196434E-2"/>
    <n v="0.17931543136376787"/>
  </r>
  <r>
    <s v="Guyana"/>
    <s v="GUY"/>
    <s v="Lower middle income"/>
    <x v="5"/>
    <s v="LAC"/>
    <n v="457.1136934673367"/>
    <n v="786126"/>
    <n v="852670"/>
    <n v="96.5"/>
    <n v="29843.450000000026"/>
    <n v="29843.450000000026"/>
    <n v="228.57142857142858"/>
    <n v="6821360.0000000065"/>
    <n v="1.8630000000000001E-2"/>
    <n v="127081.93680000013"/>
    <n v="190622.90520000018"/>
    <n v="7011982.9052000064"/>
    <n v="7011982.9052000064"/>
    <n v="405082963.00590253"/>
    <n v="6076244445.0885382"/>
    <n v="1.1539994759209912E-3"/>
    <n v="3.8466649197366372E-4"/>
    <n v="3.4619984277629735E-3"/>
  </r>
  <r>
    <s v="Haiti"/>
    <s v="HTI"/>
    <s v="Low income"/>
    <x v="5"/>
    <s v="LAC"/>
    <n v="457.1136934673367"/>
    <n v="9896400"/>
    <n v="12536811"/>
    <n v="62.4"/>
    <n v="4713840.9359999998"/>
    <n v="4713840.9359999998"/>
    <n v="219.33728981206727"/>
    <n v="1033921095.5074184"/>
    <n v="1.8630000000000001E-2"/>
    <n v="19261950.009303205"/>
    <n v="28892925.013954807"/>
    <n v="1062814020.5213732"/>
    <n v="1062814020.5213732"/>
    <n v="161012362.10944861"/>
    <n v="2415185431.6417294"/>
    <n v="0.44005483247674371"/>
    <n v="0.14668494415891456"/>
    <n v="1.3201644974302311"/>
  </r>
  <r>
    <s v="Honduras"/>
    <s v="HND"/>
    <s v="Lower middle income"/>
    <x v="5"/>
    <s v="LAC"/>
    <n v="457.1136934673367"/>
    <n v="7621204"/>
    <n v="10811004"/>
    <n v="88.2"/>
    <n v="1275698.4719999998"/>
    <n v="1275698.4719999998"/>
    <n v="394.70782800441015"/>
    <n v="503528173.07166475"/>
    <n v="1.8630000000000001E-2"/>
    <n v="9380729.8643251155"/>
    <n v="14071094.796487674"/>
    <n v="517599267.86815244"/>
    <n v="517599267.86815244"/>
    <n v="717924436.29793561"/>
    <n v="10768866544.469034"/>
    <n v="4.8064414739543322E-2"/>
    <n v="1.6021471579847773E-2"/>
    <n v="0.14419324421862997"/>
  </r>
  <r>
    <s v="Hong Kong SAR, China"/>
    <s v="HKG"/>
    <s v="High income: nonOECD"/>
    <x v="3"/>
    <s v="N/A"/>
    <n v="162.92664529511597"/>
    <n v="7024200"/>
    <n v="7885155"/>
    <s v="N/A"/>
    <e v="#VALUE!"/>
    <n v="0"/>
    <s v="N/A"/>
    <e v="#VALUE!"/>
    <e v="#VALUE!"/>
    <e v="#VALUE!"/>
    <e v="#VALUE!"/>
    <e v="#VALUE!"/>
    <n v="0"/>
    <n v="3134453.5797919827"/>
    <n v="47016803.696879737"/>
    <e v="#VALUE!"/>
    <e v="#VALUE!"/>
    <e v="#VALUE!"/>
  </r>
  <r>
    <s v="Hungary"/>
    <s v="HUN"/>
    <s v="Upper middle income"/>
    <x v="1"/>
    <s v="N/A"/>
    <s v="N/A"/>
    <n v="10000023"/>
    <n v="9525243"/>
    <n v="100"/>
    <n v="0"/>
    <n v="0"/>
    <s v="N/A"/>
    <e v="#VALUE!"/>
    <e v="#VALUE!"/>
    <e v="#VALUE!"/>
    <e v="#VALUE!"/>
    <e v="#VALUE!"/>
    <n v="0"/>
    <n v="1095685098.3472166"/>
    <n v="16435276475.208248"/>
    <e v="#VALUE!"/>
    <e v="#VALUE!"/>
    <e v="#VALUE!"/>
  </r>
  <r>
    <s v="Iceland"/>
    <s v="ISL"/>
    <s v="High income: OECD"/>
    <x v="1"/>
    <s v="N/A"/>
    <s v="N/A"/>
    <n v="318041"/>
    <n v="383558"/>
    <n v="100"/>
    <n v="0"/>
    <n v="0"/>
    <s v="N/A"/>
    <e v="#VALUE!"/>
    <e v="#VALUE!"/>
    <e v="#VALUE!"/>
    <e v="#VALUE!"/>
    <e v="#VALUE!"/>
    <n v="0"/>
    <n v="0"/>
    <n v="0"/>
    <e v="#VALUE!"/>
    <e v="#VALUE!"/>
    <e v="#VALUE!"/>
  </r>
  <r>
    <s v="India"/>
    <s v="IND"/>
    <s v="Lower middle income"/>
    <x v="0"/>
    <s v="S Asia"/>
    <n v="25.998990717254753"/>
    <n v="1205624648"/>
    <n v="1476377903"/>
    <n v="90.7"/>
    <n v="137303144.97899997"/>
    <n v="137303144.97899997"/>
    <n v="21.495640688329189"/>
    <n v="2951419069.8461533"/>
    <n v="1.8630000000000001E-2"/>
    <n v="54984937.271233834"/>
    <n v="82477405.906850755"/>
    <n v="3033896475.7530041"/>
    <n v="3033896475.7530041"/>
    <n v="106120979971.95012"/>
    <n v="1591814699579.2517"/>
    <n v="1.9059357075637781E-3"/>
    <n v="6.3531190252125939E-4"/>
    <n v="5.7178071226913346E-3"/>
  </r>
  <r>
    <s v="Indonesia"/>
    <s v="IDN"/>
    <s v="Lower middle income"/>
    <x v="3"/>
    <s v="SE Asia"/>
    <n v="286.39139284675775"/>
    <n v="240676485"/>
    <n v="293482460"/>
    <n v="83.8"/>
    <n v="47544158.520000011"/>
    <n v="47544158.520000011"/>
    <n v="275.0961557824362"/>
    <n v="13079215238.762764"/>
    <n v="1.8630000000000001E-2"/>
    <n v="243665779.8981503"/>
    <n v="365498669.84722543"/>
    <n v="13444713908.609989"/>
    <n v="13444713908.609989"/>
    <n v="59899197819.567902"/>
    <n v="898487967293.51855"/>
    <n v="1.4963710587142302E-2"/>
    <n v="4.9879035290474336E-3"/>
    <n v="4.4891131761426908E-2"/>
  </r>
  <r>
    <s v="Iran, Islamic Rep."/>
    <s v="IRN"/>
    <s v="Upper middle income"/>
    <x v="2"/>
    <s v="S Asia"/>
    <n v="25.998990717254753"/>
    <n v="74462314"/>
    <n v="91336270"/>
    <n v="95.7"/>
    <n v="3927459.6099999934"/>
    <n v="3927459.6099999934"/>
    <n v="25.998990717254753"/>
    <n v="102109985.9427828"/>
    <n v="1.8630000000000001E-2"/>
    <n v="1902309.0381140437"/>
    <n v="2853463.5571710654"/>
    <n v="104963449.49995387"/>
    <n v="104963449.49995387"/>
    <n v="130357567150.05748"/>
    <n v="1955363507250.8623"/>
    <n v="5.3679762924248765E-5"/>
    <n v="1.789325430808292E-5"/>
    <n v="1.6103928877274628E-4"/>
  </r>
  <r>
    <s v="Iraq"/>
    <s v="IRQ"/>
    <s v="Upper middle income"/>
    <x v="2"/>
    <s v="W Asia"/>
    <n v="463.55505996404435"/>
    <n v="30962380"/>
    <n v="50966609"/>
    <n v="84.4"/>
    <n v="7950791.003999996"/>
    <n v="7950791.003999996"/>
    <n v="412.47374668980001"/>
    <n v="3279492554.5674353"/>
    <n v="1.8630000000000001E-2"/>
    <n v="61096946.291591324"/>
    <n v="91645419.437386975"/>
    <n v="3371137974.0048223"/>
    <n v="3371137974.0048223"/>
    <n v="60551177603.513367"/>
    <n v="908267664052.70044"/>
    <n v="3.7116128949948157E-3"/>
    <n v="1.2372042983316051E-3"/>
    <n v="1.1134838684984449E-2"/>
  </r>
  <r>
    <s v="Ireland"/>
    <s v="IRL"/>
    <s v="High income: OECD"/>
    <x v="1"/>
    <s v="N/A"/>
    <s v="N/A"/>
    <n v="4560155"/>
    <n v="5346841"/>
    <n v="99.9"/>
    <n v="5346.840999999411"/>
    <n v="5346.840999999411"/>
    <s v="N/A"/>
    <e v="#VALUE!"/>
    <e v="#VALUE!"/>
    <e v="#VALUE!"/>
    <e v="#VALUE!"/>
    <e v="#VALUE!"/>
    <n v="0"/>
    <n v="414476099.13160717"/>
    <n v="6217141486.9741077"/>
    <e v="#VALUE!"/>
    <e v="#VALUE!"/>
    <e v="#VALUE!"/>
  </r>
  <r>
    <s v="Isle of Man"/>
    <s v="IMY"/>
    <s v="High income: nonOECD"/>
    <x v="1"/>
    <s v="N/A"/>
    <s v="N/A"/>
    <n v="83992"/>
    <n v="94237"/>
    <s v="N/A"/>
    <e v="#VALUE!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Israel"/>
    <s v="ISR"/>
    <s v="High income: OECD"/>
    <x v="2"/>
    <s v="N/A"/>
    <n v="463.55505996404435"/>
    <n v="7623600"/>
    <n v="9632030"/>
    <n v="100"/>
    <n v="0"/>
    <n v="0"/>
    <s v="N/A"/>
    <e v="#VALUE!"/>
    <e v="#VALUE!"/>
    <e v="#VALUE!"/>
    <e v="#VALUE!"/>
    <e v="#VALUE!"/>
    <n v="0"/>
    <n v="683998780.19966102"/>
    <n v="10259981702.994915"/>
    <e v="#VALUE!"/>
    <e v="#VALUE!"/>
    <e v="#VALUE!"/>
  </r>
  <r>
    <s v="Italy"/>
    <s v="ITA"/>
    <s v="High income: OECD"/>
    <x v="1"/>
    <s v="N/A"/>
    <s v="N/A"/>
    <n v="60483385"/>
    <n v="61211831"/>
    <n v="100"/>
    <n v="0"/>
    <n v="0"/>
    <s v="N/A"/>
    <e v="#VALUE!"/>
    <e v="#VALUE!"/>
    <e v="#VALUE!"/>
    <e v="#VALUE!"/>
    <e v="#VALUE!"/>
    <n v="0"/>
    <n v="3978955289.0601716"/>
    <n v="59684329335.902573"/>
    <e v="#VALUE!"/>
    <e v="#VALUE!"/>
    <e v="#VALUE!"/>
  </r>
  <r>
    <s v="Jamaica"/>
    <s v="JAM"/>
    <s v="Upper middle income"/>
    <x v="5"/>
    <s v="LAC"/>
    <n v="457.1136934673367"/>
    <n v="2690824"/>
    <n v="2949838"/>
    <n v="93.1"/>
    <n v="203538.82200000019"/>
    <n v="203538.82200000019"/>
    <n v="350.21097046413502"/>
    <n v="71281528.379746899"/>
    <n v="1.8630000000000001E-2"/>
    <n v="1327974.8737146847"/>
    <n v="1991962.3105720272"/>
    <n v="73273490.690318927"/>
    <n v="73273490.690318927"/>
    <n v="244066186.95842627"/>
    <n v="3660992804.3763938"/>
    <n v="2.0014650289049172E-2"/>
    <n v="6.6715500963497243E-3"/>
    <n v="6.0043950867147512E-2"/>
  </r>
  <r>
    <s v="Japan"/>
    <s v="JPN"/>
    <s v="High income: OECD"/>
    <x v="3"/>
    <s v="N/A"/>
    <n v="162.92664529511597"/>
    <n v="127450459"/>
    <n v="120624738"/>
    <n v="100"/>
    <n v="0"/>
    <n v="0"/>
    <s v="N/A"/>
    <e v="#VALUE!"/>
    <e v="#VALUE!"/>
    <e v="#VALUE!"/>
    <e v="#VALUE!"/>
    <e v="#VALUE!"/>
    <n v="0"/>
    <n v="1629780081.2566016"/>
    <n v="24446701218.849022"/>
    <e v="#VALUE!"/>
    <e v="#VALUE!"/>
    <e v="#VALUE!"/>
  </r>
  <r>
    <s v="Jordan"/>
    <s v="JOR"/>
    <s v="Upper middle income"/>
    <x v="2"/>
    <s v="W Asia"/>
    <n v="463.55505996404435"/>
    <n v="6046000"/>
    <n v="9355173"/>
    <n v="96.2"/>
    <n v="355496.57399999927"/>
    <n v="355496.57399999927"/>
    <n v="491.40401146131808"/>
    <n v="174692442.52435493"/>
    <n v="1.8630000000000001E-2"/>
    <n v="3254520.2042287327"/>
    <n v="4881780.3063430991"/>
    <n v="179574222.83069804"/>
    <n v="179574222.83069804"/>
    <n v="479904568.92910677"/>
    <n v="7198568533.9366016"/>
    <n v="2.494582387930622E-2"/>
    <n v="8.3152746264354063E-3"/>
    <n v="7.4837471637918665E-2"/>
  </r>
  <r>
    <s v="Kazakhstan"/>
    <s v="KAZ"/>
    <s v="Upper middle income"/>
    <x v="1"/>
    <s v="CCA"/>
    <n v="270.56505523889945"/>
    <n v="16321581"/>
    <n v="18572745"/>
    <n v="93.2"/>
    <n v="1262946.659999999"/>
    <n v="1262946.659999999"/>
    <n v="347.89391575663029"/>
    <n v="439371458.93915725"/>
    <n v="1.8630000000000001E-2"/>
    <n v="8185490.2800364997"/>
    <n v="12278235.420054751"/>
    <n v="451649694.35921198"/>
    <n v="451649694.35921198"/>
    <n v="52080674870.849876"/>
    <n v="781210123062.74817"/>
    <n v="5.7814111853608774E-4"/>
    <n v="1.9271370617869591E-4"/>
    <n v="1.7344233556082632E-3"/>
  </r>
  <r>
    <s v="Kenya"/>
    <s v="KEN"/>
    <s v="Low income"/>
    <x v="4"/>
    <s v="SSA"/>
    <n v="68.964152792292879"/>
    <n v="40909194"/>
    <n v="66306062.999999993"/>
    <n v="60.1"/>
    <n v="26456119.136999998"/>
    <n v="26456119.136999998"/>
    <n v="56.594145753119633"/>
    <n v="1497261462.5012755"/>
    <n v="1.8630000000000001E-2"/>
    <n v="27893981.046398763"/>
    <n v="41840971.569598146"/>
    <n v="1539102434.0708737"/>
    <n v="1539102434.0708737"/>
    <n v="1419333043.2990847"/>
    <n v="21289995649.486271"/>
    <n v="7.2292285043656757E-2"/>
    <n v="2.4097428347885582E-2"/>
    <n v="0.2168768551309703"/>
  </r>
  <r>
    <s v="Kiribati"/>
    <s v="KIR"/>
    <s v="Lower middle income"/>
    <x v="3"/>
    <s v="N/A"/>
    <n v="162.92664529511597"/>
    <n v="97743"/>
    <n v="130715"/>
    <n v="65.400000000000006"/>
    <n v="45227.39"/>
    <n v="45227.39"/>
    <n v="162.92664529511597"/>
    <n v="7368746.9281538753"/>
    <n v="1.8630000000000001E-2"/>
    <n v="137279.7552715067"/>
    <n v="205919.63290726003"/>
    <n v="7574666.5610611355"/>
    <n v="7574666.5610611355"/>
    <n v="147463.39816805688"/>
    <n v="2211950.9725208534"/>
    <n v="3.424427871666909"/>
    <n v="1.141475957222303"/>
    <n v="10.273283615000727"/>
  </r>
  <r>
    <s v="Korea, Dem. Rep."/>
    <s v="PRK"/>
    <s v="Low income"/>
    <x v="3"/>
    <s v="N/A"/>
    <n v="530.71832220241151"/>
    <n v="24500520"/>
    <n v="26718625"/>
    <n v="98.3"/>
    <n v="454216.62500000041"/>
    <n v="454216.62500000041"/>
    <n v="530.71832220241151"/>
    <n v="241061085.13644215"/>
    <n v="1.8630000000000001E-2"/>
    <n v="4490968.0160919176"/>
    <n v="6736452.024137876"/>
    <n v="247797537.16058004"/>
    <n v="247797537.16058004"/>
    <s v="N/A"/>
    <e v="#VALUE!"/>
    <e v="#VALUE!"/>
    <e v="#VALUE!"/>
    <e v="#VALUE!"/>
  </r>
  <r>
    <s v="Korea, Rep."/>
    <s v="KOR"/>
    <s v="High income: OECD"/>
    <x v="3"/>
    <s v="E Asia"/>
    <n v="530.71832220241151"/>
    <n v="49410366"/>
    <n v="52190069"/>
    <n v="97.7"/>
    <n v="1200371.587000001"/>
    <n v="1200371.587000001"/>
    <n v="530.71832220241151"/>
    <n v="637059194.6720866"/>
    <n v="1.8630000000000001E-2"/>
    <n v="11868412.796740973"/>
    <n v="17802619.195111461"/>
    <n v="654861813.86719811"/>
    <n v="654861813.86719811"/>
    <n v="614733047.31301725"/>
    <n v="9220995709.6952591"/>
    <n v="7.1018557483836023E-2"/>
    <n v="2.3672852494612009E-2"/>
    <n v="0.21305567245150808"/>
  </r>
  <r>
    <s v="Kosovo"/>
    <s v="KSV"/>
    <s v="Lower middle income"/>
    <x v="1"/>
    <s v="N/A"/>
    <s v="N/A"/>
    <n v="1775680"/>
    <s v="N/A"/>
    <s v="N/A"/>
    <e v="#VALUE!"/>
    <n v="0"/>
    <s v="N/A"/>
    <e v="#VALUE!"/>
    <e v="#VALUE!"/>
    <e v="#VALUE!"/>
    <e v="#VALUE!"/>
    <e v="#VALUE!"/>
    <n v="0"/>
    <n v="177423641.54793903"/>
    <n v="2661354623.2190857"/>
    <e v="#VALUE!"/>
    <e v="#VALUE!"/>
    <e v="#VALUE!"/>
  </r>
  <r>
    <s v="Kuwait"/>
    <s v="KWT"/>
    <s v="High income: nonOECD"/>
    <x v="2"/>
    <s v="W Asia"/>
    <n v="463.55505996404435"/>
    <n v="2991580"/>
    <n v="4832793"/>
    <n v="99"/>
    <n v="48327.930000000044"/>
    <n v="48327.930000000044"/>
    <n v="575.41899441340786"/>
    <n v="27808808.88268159"/>
    <n v="1.8630000000000001E-2"/>
    <n v="518078.10948435805"/>
    <n v="777117.1642265371"/>
    <n v="28585926.046908125"/>
    <n v="28585926.046908125"/>
    <n v="62059401760.996567"/>
    <n v="930891026414.94849"/>
    <n v="3.0708133643739553E-5"/>
    <n v="1.0236044547913184E-5"/>
    <n v="9.2124400931218659E-5"/>
  </r>
  <r>
    <s v="Kyrgyz Republic"/>
    <s v="KGZ"/>
    <s v="Low income"/>
    <x v="1"/>
    <s v="CCA"/>
    <n v="270.56505523889945"/>
    <n v="5447900"/>
    <n v="6871058"/>
    <n v="87.6"/>
    <n v="852011.19200000074"/>
    <n v="852011.19200000074"/>
    <n v="270.56505523889945"/>
    <n v="230524455.22764075"/>
    <n v="1.8630000000000001E-2"/>
    <n v="4294670.6008909475"/>
    <n v="6442005.9013364213"/>
    <n v="236966461.12897718"/>
    <n v="236966461.12897718"/>
    <n v="577303538.49183607"/>
    <n v="8659553077.3775406"/>
    <n v="2.7364744925235808E-2"/>
    <n v="9.1215816417452699E-3"/>
    <n v="8.2094234775707431E-2"/>
  </r>
  <r>
    <s v="Lao PDR"/>
    <s v="LAO"/>
    <s v="Lower middle income"/>
    <x v="3"/>
    <s v="SE Asia"/>
    <n v="286.39139284675775"/>
    <n v="6395713"/>
    <n v="8806260"/>
    <n v="67.5"/>
    <n v="2862034.4999999995"/>
    <n v="2862034.4999999995"/>
    <n v="266.99029126213594"/>
    <n v="764135424.75728142"/>
    <n v="1.8630000000000001E-2"/>
    <n v="14235842.963228153"/>
    <n v="21353764.444842231"/>
    <n v="785489189.20212364"/>
    <n v="785489189.20212364"/>
    <n v="1331952550.8132415"/>
    <n v="19979288262.198624"/>
    <n v="3.9315173738610668E-2"/>
    <n v="1.3105057912870222E-2"/>
    <n v="0.11794552121583199"/>
  </r>
  <r>
    <s v="Latvia"/>
    <s v="LVA"/>
    <s v="High income: nonOECD"/>
    <x v="1"/>
    <s v="N/A"/>
    <n v="270.56505523889945"/>
    <n v="2097555"/>
    <n v="1855822"/>
    <n v="98.4"/>
    <n v="29693.15199999982"/>
    <n v="29693.15199999982"/>
    <n v="270.56505523889945"/>
    <n v="8033929.3110969886"/>
    <n v="1.8630000000000001E-2"/>
    <n v="149672.10306573691"/>
    <n v="224508.15459860538"/>
    <n v="8258437.4656955944"/>
    <n v="8258437.4656955944"/>
    <n v="581674804.62426615"/>
    <n v="8725122069.3639927"/>
    <n v="9.4651254160591739E-4"/>
    <n v="3.1550418053530576E-4"/>
    <n v="2.8395376248177523E-3"/>
  </r>
  <r>
    <s v="Lebanon"/>
    <s v="LBN"/>
    <s v="Upper middle income"/>
    <x v="2"/>
    <s v="W Asia"/>
    <n v="463.55505996404435"/>
    <n v="4341092"/>
    <n v="5171981"/>
    <n v="100"/>
    <n v="0"/>
    <n v="0"/>
    <n v="1162.0111731843576"/>
    <n v="0"/>
    <e v="#DIV/0!"/>
    <n v="0"/>
    <n v="0"/>
    <n v="0"/>
    <n v="0"/>
    <n v="1265644.42328598"/>
    <n v="18984666.3492897"/>
    <n v="0"/>
    <n v="0"/>
    <n v="0"/>
  </r>
  <r>
    <s v="Lesotho"/>
    <s v="LSO"/>
    <s v="Lower middle income"/>
    <x v="4"/>
    <s v="SSA"/>
    <n v="68.964152792292879"/>
    <n v="2008921"/>
    <n v="2419217"/>
    <n v="81"/>
    <n v="459651.22999999986"/>
    <n v="459651.22999999986"/>
    <n v="146.52014652014651"/>
    <n v="67348165.567765549"/>
    <n v="1.8630000000000001E-2"/>
    <n v="1254696.3245274723"/>
    <n v="1882044.4867912084"/>
    <n v="69230210.054556757"/>
    <n v="69230210.054556757"/>
    <n v="103261507.33429362"/>
    <n v="1548922610.0144043"/>
    <n v="4.4695719209569128E-2"/>
    <n v="1.4898573069856376E-2"/>
    <n v="0.13408715762870738"/>
  </r>
  <r>
    <s v="Liberia"/>
    <s v="LBR"/>
    <s v="Low income"/>
    <x v="4"/>
    <s v="SSA"/>
    <n v="68.964152792292879"/>
    <n v="3957990"/>
    <n v="6395182"/>
    <n v="72.3"/>
    <n v="1771465.4140000001"/>
    <n v="1771465.4140000001"/>
    <n v="46.760187040748164"/>
    <n v="82834054.094856381"/>
    <n v="1.8630000000000001E-2"/>
    <n v="1543198.4277871745"/>
    <n v="2314797.6416807617"/>
    <n v="85148851.736537144"/>
    <n v="85148851.736537144"/>
    <n v="414154618.30642617"/>
    <n v="6212319274.5963926"/>
    <n v="1.3706451322411977E-2"/>
    <n v="4.5688171074706593E-3"/>
    <n v="4.1119353967235928E-2"/>
  </r>
  <r>
    <s v="Libya"/>
    <s v="LBY"/>
    <s v="Upper middle income"/>
    <x v="2"/>
    <s v="N Africa"/>
    <n v="412.83830673143649"/>
    <n v="6040612"/>
    <n v="7459411"/>
    <s v="N/A"/>
    <e v="#VALUE!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Liechtenstein"/>
    <s v="LIE"/>
    <s v="High income: nonOECD"/>
    <x v="1"/>
    <s v="N/A"/>
    <s v="N/A"/>
    <n v="36120"/>
    <n v="41314"/>
    <s v="N/A"/>
    <e v="#VALUE!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Lithuania"/>
    <s v="LTU"/>
    <s v="High income: nonOECD"/>
    <x v="1"/>
    <s v="N/A"/>
    <n v="270.56505523889945"/>
    <n v="3097282"/>
    <n v="2816749"/>
    <n v="95"/>
    <n v="140837.45000000013"/>
    <n v="140837.45000000013"/>
    <n v="270.56505523889945"/>
    <n v="38105692.438955776"/>
    <n v="1.8630000000000001E-2"/>
    <n v="709909.05013774615"/>
    <n v="1064863.5752066192"/>
    <n v="39170556.014162399"/>
    <n v="39170556.014162399"/>
    <n v="397630289.50000304"/>
    <n v="5964454342.5000458"/>
    <n v="6.5673326954739947E-3"/>
    <n v="2.1891108984913314E-3"/>
    <n v="1.9701998086421986E-2"/>
  </r>
  <r>
    <s v="Luxembourg"/>
    <s v="LUX"/>
    <s v="High income: OECD"/>
    <x v="1"/>
    <s v="N/A"/>
    <s v="N/A"/>
    <n v="506953"/>
    <n v="636826"/>
    <n v="100"/>
    <n v="0"/>
    <n v="0"/>
    <s v="N/A"/>
    <e v="#VALUE!"/>
    <e v="#VALUE!"/>
    <e v="#VALUE!"/>
    <e v="#VALUE!"/>
    <e v="#VALUE!"/>
    <n v="0"/>
    <n v="58508352.210030153"/>
    <n v="877625283.15045226"/>
    <e v="#VALUE!"/>
    <e v="#VALUE!"/>
    <e v="#VALUE!"/>
  </r>
  <r>
    <s v="Macao SAR, China"/>
    <s v="MAC"/>
    <s v="High income: nonOECD"/>
    <x v="3"/>
    <s v="N/A"/>
    <n v="162.92664529511597"/>
    <n v="534626"/>
    <n v="701551"/>
    <s v="N/A"/>
    <e v="#VALUE!"/>
    <n v="0"/>
    <s v="N/A"/>
    <e v="#VALUE!"/>
    <e v="#VALUE!"/>
    <e v="#VALUE!"/>
    <e v="#VALUE!"/>
    <e v="#VALUE!"/>
    <n v="0"/>
    <n v="278781.88696400158"/>
    <n v="4181728.3044600235"/>
    <e v="#VALUE!"/>
    <e v="#VALUE!"/>
    <e v="#VALUE!"/>
  </r>
  <r>
    <s v="Macedonia, FYR"/>
    <s v="MKD"/>
    <s v="Upper middle income"/>
    <x v="1"/>
    <s v="N/A"/>
    <s v="N/A"/>
    <n v="2102216"/>
    <n v="2068730"/>
    <n v="99.4"/>
    <n v="12412.379999999781"/>
    <n v="12412.379999999781"/>
    <s v="N/A"/>
    <e v="#VALUE!"/>
    <e v="#VALUE!"/>
    <e v="#VALUE!"/>
    <e v="#VALUE!"/>
    <e v="#VALUE!"/>
    <n v="0"/>
    <n v="424368475.62691891"/>
    <n v="6365527134.4037838"/>
    <e v="#VALUE!"/>
    <e v="#VALUE!"/>
    <e v="#VALUE!"/>
  </r>
  <r>
    <s v="Madagascar"/>
    <s v="MDG"/>
    <s v="Low income"/>
    <x v="4"/>
    <s v="SSA"/>
    <n v="68.964152792292879"/>
    <n v="21079532"/>
    <n v="36000163"/>
    <n v="47.6"/>
    <n v="18864085.412"/>
    <n v="18864085.412"/>
    <n v="21.121631463947558"/>
    <n v="398440259.97669333"/>
    <n v="1.8630000000000001E-2"/>
    <n v="7422942.043365797"/>
    <n v="11134413.065048695"/>
    <n v="409574673.04174203"/>
    <n v="409574673.04174203"/>
    <n v="692026009.85163426"/>
    <n v="10380390147.774513"/>
    <n v="3.9456577952376108E-2"/>
    <n v="1.3152192650792037E-2"/>
    <n v="0.11836973385712832"/>
  </r>
  <r>
    <s v="Malawi"/>
    <s v="MWI"/>
    <s v="Low income"/>
    <x v="4"/>
    <s v="SSA"/>
    <n v="68.964152792292879"/>
    <n v="15013694"/>
    <n v="25959551"/>
    <n v="81.3"/>
    <n v="4854436.0370000014"/>
    <n v="4854436.0370000014"/>
    <n v="23.900381602731471"/>
    <n v="116022873.7503515"/>
    <n v="1.8630000000000001E-2"/>
    <n v="2161506.1379690487"/>
    <n v="3242259.206953573"/>
    <n v="119265132.95730507"/>
    <n v="119265132.95730507"/>
    <n v="403920728.59788555"/>
    <n v="6058810928.9682837"/>
    <n v="1.9684577445233793E-2"/>
    <n v="6.5615258150779308E-3"/>
    <n v="5.9053732335701374E-2"/>
  </r>
  <r>
    <s v="Malaysia"/>
    <s v="MYS"/>
    <s v="Upper middle income"/>
    <x v="3"/>
    <s v="SE Asia"/>
    <n v="286.39139284675775"/>
    <n v="28275835"/>
    <n v="36845517"/>
    <n v="99.6"/>
    <n v="147382.06800000014"/>
    <n v="147382.06800000014"/>
    <n v="537.54789272030655"/>
    <n v="79224920.078161001"/>
    <n v="1.8630000000000001E-2"/>
    <n v="1475960.2610561396"/>
    <n v="2213940.3915842096"/>
    <n v="81438860.469745204"/>
    <n v="81438860.469745204"/>
    <n v="26660491900.712803"/>
    <n v="399907378510.69202"/>
    <n v="2.0364430577158714E-4"/>
    <n v="6.7881435257195706E-5"/>
    <n v="6.1093291731476138E-4"/>
  </r>
  <r>
    <s v="Maldives"/>
    <s v="MDV"/>
    <s v="Upper middle income"/>
    <x v="0"/>
    <s v="S Asia"/>
    <n v="25.998990717254753"/>
    <n v="325694"/>
    <n v="435873"/>
    <n v="98.3"/>
    <n v="7409.8410000000067"/>
    <n v="7409.8410000000067"/>
    <n v="64.516129032258064"/>
    <n v="478054.25806451659"/>
    <n v="1.8630000000000004E-2"/>
    <n v="8906.1508277419452"/>
    <n v="13359.226241612918"/>
    <n v="491413.48430612951"/>
    <n v="491413.48430612951"/>
    <n v="1158905.3361817906"/>
    <n v="17383580.042726859"/>
    <n v="2.8268830879386822E-2"/>
    <n v="9.422943626462274E-3"/>
    <n v="8.4806492638160452E-2"/>
  </r>
  <r>
    <s v="Mali"/>
    <s v="MLI"/>
    <s v="Low income"/>
    <x v="4"/>
    <s v="SSA"/>
    <n v="68.964152792292879"/>
    <n v="13985961"/>
    <n v="26034111"/>
    <n v="63.6"/>
    <n v="9476416.4039999992"/>
    <n v="9476416.4039999992"/>
    <n v="72.586755569025613"/>
    <n v="687862321.18745255"/>
    <n v="1.8630000000000001E-2"/>
    <n v="12814875.043722242"/>
    <n v="19222312.565583363"/>
    <n v="707084633.7530359"/>
    <n v="707084633.7530359"/>
    <n v="1347245165.1593575"/>
    <n v="20208677477.390362"/>
    <n v="3.4989159213616436E-2"/>
    <n v="1.1663053071205479E-2"/>
    <n v="0.10496747764084929"/>
  </r>
  <r>
    <s v="Malta"/>
    <s v="MLT"/>
    <s v="High income: nonOECD"/>
    <x v="2"/>
    <s v="N/A"/>
    <s v="N/A"/>
    <n v="414508"/>
    <n v="436792"/>
    <n v="100"/>
    <n v="0"/>
    <n v="0"/>
    <s v="N/A"/>
    <e v="#VALUE!"/>
    <e v="#VALUE!"/>
    <e v="#VALUE!"/>
    <e v="#VALUE!"/>
    <e v="#VALUE!"/>
    <n v="0"/>
    <n v="0"/>
    <n v="0"/>
    <e v="#VALUE!"/>
    <e v="#VALUE!"/>
    <e v="#VALUE!"/>
  </r>
  <r>
    <s v="Marshall Islands"/>
    <s v="MHL"/>
    <s v="Upper middle income"/>
    <x v="3"/>
    <s v="N/A"/>
    <n v="162.92664529511597"/>
    <n v="52428"/>
    <n v="58101"/>
    <n v="94.3"/>
    <n v="3311.7570000000028"/>
    <n v="3311.7570000000028"/>
    <n v="162.92664529511597"/>
    <n v="539573.45804261789"/>
    <n v="1.8630000000000001E-2"/>
    <n v="10052.253523333971"/>
    <n v="15078.380285000958"/>
    <n v="554651.8383276189"/>
    <n v="554651.8383276189"/>
    <n v="0"/>
    <n v="0"/>
    <e v="#DIV/0!"/>
    <e v="#DIV/0!"/>
    <e v="#DIV/0!"/>
  </r>
  <r>
    <s v="Mauritania"/>
    <s v="MRT"/>
    <s v="Lower middle income"/>
    <x v="4"/>
    <s v="SSA"/>
    <n v="68.964152792292879"/>
    <n v="3609420"/>
    <n v="5640323"/>
    <n v="49.6"/>
    <n v="2842722.7919999999"/>
    <n v="2842722.7919999999"/>
    <n v="145.5604075691412"/>
    <n v="413787888.20960701"/>
    <n v="1.8630000000000001E-2"/>
    <n v="7708868.3573449785"/>
    <n v="11563302.536017468"/>
    <n v="425351190.74562448"/>
    <n v="425351190.74562448"/>
    <n v="1996969500.3540106"/>
    <n v="29954542505.310158"/>
    <n v="1.4199889404761259E-2"/>
    <n v="4.7332964682537523E-3"/>
    <n v="4.2599668214283772E-2"/>
  </r>
  <r>
    <s v="Mauritius"/>
    <s v="MUS"/>
    <s v="Upper middle income"/>
    <x v="4"/>
    <s v="SSA"/>
    <n v="68.964152792292879"/>
    <n v="1280924"/>
    <n v="1287944"/>
    <n v="99.7"/>
    <n v="3863.8320000000035"/>
    <n v="3863.8320000000035"/>
    <n v="479.16666666666669"/>
    <n v="1851419.5000000019"/>
    <n v="1.8630000000000001E-2"/>
    <n v="34491.945285000038"/>
    <n v="51737.917927500057"/>
    <n v="1903157.417927502"/>
    <n v="1903157.417927502"/>
    <n v="717808.34286977118"/>
    <n v="10767125.143046567"/>
    <n v="0.1767563200615872"/>
    <n v="5.8918773353862398E-2"/>
    <n v="0.53026896018476166"/>
  </r>
  <r>
    <s v="Mexico"/>
    <s v="MEX"/>
    <s v="Upper middle income"/>
    <x v="5"/>
    <s v="LAC"/>
    <n v="457.1136934673367"/>
    <n v="117886404"/>
    <n v="143662574"/>
    <n v="93.9"/>
    <n v="8763417.0139999911"/>
    <n v="8763417.0139999911"/>
    <n v="567.81062642133554"/>
    <n v="4975961304.3107252"/>
    <n v="1.8630000000000001E-2"/>
    <n v="92702159.099308819"/>
    <n v="139053238.64896321"/>
    <n v="5115014542.9596882"/>
    <n v="5115014542.9596882"/>
    <n v="79509538709.839935"/>
    <n v="1192643080647.5991"/>
    <n v="4.2888057843611192E-3"/>
    <n v="1.4296019281203731E-3"/>
    <n v="1.2866417353083359E-2"/>
  </r>
  <r>
    <s v="Micronesia, Fed. Sts."/>
    <s v="FSM"/>
    <s v="Lower middle income"/>
    <x v="3"/>
    <s v="N/A"/>
    <n v="162.92664529511597"/>
    <n v="103619"/>
    <n v="120664"/>
    <n v="89.2"/>
    <n v="13031.711999999998"/>
    <n v="13031.711999999998"/>
    <n v="162.92664529511597"/>
    <n v="2123213.118612106"/>
    <n v="1.8630000000000001E-2"/>
    <n v="39555.460399743533"/>
    <n v="59333.1905996153"/>
    <n v="2182546.3092117212"/>
    <n v="2182546.3092117212"/>
    <n v="122710.4341582333"/>
    <n v="1840656.5123734996"/>
    <n v="1.1857433989122499"/>
    <n v="0.39524779963741663"/>
    <n v="3.5572301967367497"/>
  </r>
  <r>
    <s v="Moldova"/>
    <s v="MDA"/>
    <s v="Lower middle income"/>
    <x v="1"/>
    <s v="N/A"/>
    <n v="270.56505523889945"/>
    <n v="3562045"/>
    <n v="3066205"/>
    <n v="96"/>
    <n v="122648.20000000011"/>
    <n v="122648.20000000011"/>
    <n v="270.56505523889945"/>
    <n v="33184317.007951617"/>
    <n v="1.8630000000000001E-2"/>
    <n v="618223.82585813862"/>
    <n v="927335.73878720787"/>
    <n v="34111652.746738829"/>
    <n v="34111652.746738829"/>
    <n v="26844920.985309076"/>
    <n v="402673814.77963614"/>
    <n v="8.4712865586768993E-2"/>
    <n v="2.823762186225633E-2"/>
    <n v="0.25413859676030698"/>
  </r>
  <r>
    <s v="Monaco"/>
    <s v="MCO"/>
    <s v="High income: nonOECD"/>
    <x v="1"/>
    <s v="N/A"/>
    <s v="N/A"/>
    <n v="36845"/>
    <n v="43857"/>
    <n v="100"/>
    <n v="0"/>
    <n v="0"/>
    <s v="N/A"/>
    <e v="#VALUE!"/>
    <e v="#VALUE!"/>
    <e v="#VALUE!"/>
    <e v="#VALUE!"/>
    <e v="#VALUE!"/>
    <n v="0"/>
    <n v="0"/>
    <n v="0"/>
    <e v="#VALUE!"/>
    <e v="#VALUE!"/>
    <e v="#VALUE!"/>
  </r>
  <r>
    <s v="Mongolia"/>
    <s v="MNG"/>
    <s v="Lower middle income"/>
    <x v="3"/>
    <s v="E Asia"/>
    <n v="530.71832220241151"/>
    <n v="2712738"/>
    <n v="3387631"/>
    <n v="82.3"/>
    <n v="599610.68700000015"/>
    <n v="599610.68700000015"/>
    <n v="171.46974063400577"/>
    <n v="102815088.98126805"/>
    <n v="1.8630000000000001E-2"/>
    <n v="1915445.1077210237"/>
    <n v="2873167.6615815354"/>
    <n v="105688256.64284958"/>
    <n v="105688256.64284958"/>
    <n v="2578929370.5691776"/>
    <n v="38683940558.537666"/>
    <n v="2.7320964492466592E-3"/>
    <n v="9.1069881641555293E-4"/>
    <n v="8.1962893477399781E-3"/>
  </r>
  <r>
    <s v="Montenegro"/>
    <s v="MNE"/>
    <s v="Upper middle income"/>
    <x v="1"/>
    <s v="N/A"/>
    <n v="270.56505523889945"/>
    <n v="620078"/>
    <n v="607757"/>
    <n v="98"/>
    <n v="12155.14000000001"/>
    <n v="12155.14000000001"/>
    <n v="270.56505523889945"/>
    <n v="3288756.1255365591"/>
    <n v="1.8630000000000001E-2"/>
    <n v="61269.526618746102"/>
    <n v="91904.289928119149"/>
    <n v="3380660.4154646783"/>
    <n v="3380660.4154646783"/>
    <n v="57851763.840370655"/>
    <n v="867776457.60555983"/>
    <n v="3.89577337093573E-3"/>
    <n v="1.2985911236452433E-3"/>
    <n v="1.168732011280719E-2"/>
  </r>
  <r>
    <s v="Morocco"/>
    <s v="MAR"/>
    <s v="Lower middle income"/>
    <x v="2"/>
    <s v="N Africa"/>
    <n v="412.83830673143649"/>
    <n v="31642360"/>
    <n v="39190274"/>
    <n v="82.7"/>
    <n v="6779917.401999997"/>
    <n v="6779917.401999997"/>
    <n v="282.00514138817482"/>
    <n v="1911971565.551156"/>
    <n v="1.8630000000000001E-2"/>
    <n v="35620030.266218036"/>
    <n v="53430045.399327055"/>
    <n v="1965401610.9504831"/>
    <n v="1965401610.9504831"/>
    <n v="2752538514.3211255"/>
    <n v="41288077714.816879"/>
    <n v="4.7602158291936356E-2"/>
    <n v="1.5867386097312121E-2"/>
    <n v="0.14280647487580908"/>
  </r>
  <r>
    <s v="Mozambique"/>
    <s v="MOZ"/>
    <s v="Low income"/>
    <x v="4"/>
    <s v="SSA"/>
    <n v="68.964152792292879"/>
    <n v="23967265"/>
    <n v="38875906"/>
    <n v="47.8"/>
    <n v="20293222.932"/>
    <n v="20293222.932"/>
    <n v="13.937516832749798"/>
    <n v="282837136.20549423"/>
    <n v="1.8630000000000001E-2"/>
    <n v="5269255.8475083578"/>
    <n v="7903883.7712625368"/>
    <n v="290741019.97675675"/>
    <n v="290741019.97675675"/>
    <n v="1468383419.1173403"/>
    <n v="22025751286.760105"/>
    <n v="1.320005007736213E-2"/>
    <n v="4.4000166924540425E-3"/>
    <n v="3.9600150232086385E-2"/>
  </r>
  <r>
    <s v="Myanmar"/>
    <s v="MMR"/>
    <s v="Low income"/>
    <x v="3"/>
    <s v="SE Asia"/>
    <n v="286.39139284675775"/>
    <n v="51931231"/>
    <n v="58697747"/>
    <n v="82.6"/>
    <n v="10213407.978000002"/>
    <n v="10213407.978000002"/>
    <n v="246.71440224780204"/>
    <n v="2519794844.2052031"/>
    <n v="1.8630000000000001E-2"/>
    <n v="46943777.947542936"/>
    <n v="70415666.921314403"/>
    <n v="2590210511.1265173"/>
    <n v="2590210511.1265173"/>
    <s v="N/A"/>
    <e v="#VALUE!"/>
    <e v="#VALUE!"/>
    <e v="#VALUE!"/>
    <e v="#VALUE!"/>
  </r>
  <r>
    <s v="Namibia"/>
    <s v="NAM"/>
    <s v="Upper middle income"/>
    <x v="4"/>
    <s v="SSA"/>
    <n v="68.964152792292879"/>
    <n v="2178967"/>
    <n v="3042197"/>
    <n v="89.7"/>
    <n v="313346.29099999997"/>
    <n v="313346.29099999997"/>
    <n v="289.01734104046244"/>
    <n v="90562511.849710971"/>
    <n v="1.8630000000000001E-2"/>
    <n v="1687179.5957601154"/>
    <n v="2530769.3936401731"/>
    <n v="93093281.243351147"/>
    <n v="93093281.243351147"/>
    <n v="322584332.15443879"/>
    <n v="4838764982.3165817"/>
    <n v="1.9239058227370716E-2"/>
    <n v="6.4130194091235717E-3"/>
    <n v="5.7717174682112141E-2"/>
  </r>
  <r>
    <s v="Nepal"/>
    <s v="NPL"/>
    <s v="Low income"/>
    <x v="0"/>
    <s v="S Asia"/>
    <n v="25.998990717254753"/>
    <n v="26846016"/>
    <n v="32853228.000000004"/>
    <n v="86.4"/>
    <n v="4468039.0079999976"/>
    <n v="4468039.0079999976"/>
    <n v="165.93959731543623"/>
    <n v="741424593.77718079"/>
    <n v="1.8630000000000001E-2"/>
    <n v="13812740.182068879"/>
    <n v="20719110.273103319"/>
    <n v="762143704.05028415"/>
    <n v="762143704.05028415"/>
    <n v="1089428122.9560325"/>
    <n v="16341421844.340488"/>
    <n v="4.6638763218406036E-2"/>
    <n v="1.5546254406135345E-2"/>
    <n v="0.1399162896552181"/>
  </r>
  <r>
    <s v="Netherlands"/>
    <s v="NLD"/>
    <s v="High income: OECD"/>
    <x v="1"/>
    <s v="N/A"/>
    <s v="N/A"/>
    <n v="16615394"/>
    <n v="17268589"/>
    <n v="100"/>
    <n v="0"/>
    <n v="0"/>
    <s v="N/A"/>
    <e v="#VALUE!"/>
    <e v="#VALUE!"/>
    <e v="#VALUE!"/>
    <e v="#VALUE!"/>
    <e v="#VALUE!"/>
    <n v="0"/>
    <n v="9858835201.9990978"/>
    <n v="147882528029.98648"/>
    <e v="#VALUE!"/>
    <e v="#VALUE!"/>
    <e v="#VALUE!"/>
  </r>
  <r>
    <s v="New Caledonia"/>
    <s v="NCL"/>
    <s v="High income: nonOECD"/>
    <x v="3"/>
    <s v="N/A"/>
    <n v="162.92664529511597"/>
    <n v="249992"/>
    <n v="311623"/>
    <n v="98"/>
    <n v="6232.4600000000055"/>
    <n v="6232.4600000000055"/>
    <n v="162.92664529511597"/>
    <n v="1015433.7997359994"/>
    <n v="1.8630000000000001E-2"/>
    <n v="18917.531689081668"/>
    <n v="28376.297533622503"/>
    <n v="1043810.0972696219"/>
    <n v="1043810.0972696219"/>
    <s v="N/A"/>
    <e v="#VALUE!"/>
    <e v="#VALUE!"/>
    <e v="#VALUE!"/>
    <e v="#VALUE!"/>
  </r>
  <r>
    <s v="New Zealand"/>
    <s v="NZL"/>
    <s v="High income: OECD"/>
    <x v="3"/>
    <s v="N/A"/>
    <n v="162.92664529511597"/>
    <n v="4367800"/>
    <n v="5208035"/>
    <n v="100"/>
    <n v="0"/>
    <n v="0"/>
    <s v="N/A"/>
    <e v="#VALUE!"/>
    <e v="#VALUE!"/>
    <e v="#VALUE!"/>
    <e v="#VALUE!"/>
    <e v="#VALUE!"/>
    <n v="0"/>
    <n v="3454391570.3166966"/>
    <n v="51815873554.75045"/>
    <e v="#VALUE!"/>
    <e v="#VALUE!"/>
    <e v="#VALUE!"/>
  </r>
  <r>
    <s v="Nicaragua"/>
    <s v="NIC"/>
    <s v="Lower middle income"/>
    <x v="5"/>
    <s v="LAC"/>
    <n v="457.1136934673367"/>
    <n v="5822209"/>
    <n v="7390914"/>
    <n v="84.9"/>
    <n v="1116028.0139999993"/>
    <n v="1116028.0139999993"/>
    <n v="284.50920245398771"/>
    <n v="317520240.17944765"/>
    <n v="1.8630000000000001E-2"/>
    <n v="5915402.0745431101"/>
    <n v="8873103.1118146647"/>
    <n v="326393343.29126233"/>
    <n v="326393343.29126233"/>
    <n v="499234155.04849941"/>
    <n v="7488512325.7274914"/>
    <n v="4.3585872479625518E-2"/>
    <n v="1.4528624159875173E-2"/>
    <n v="0.13075761743887654"/>
  </r>
  <r>
    <s v="Niger"/>
    <s v="NER"/>
    <s v="Low income"/>
    <x v="4"/>
    <s v="SSA"/>
    <n v="68.964152792292879"/>
    <n v="15893746"/>
    <n v="34512751"/>
    <n v="50.5"/>
    <n v="17083811.745000001"/>
    <n v="17083811.745000001"/>
    <n v="59.897671136203243"/>
    <n v="1023280537.6548165"/>
    <n v="1.8630000000000001E-2"/>
    <n v="19063716.416509233"/>
    <n v="28595574.62476385"/>
    <n v="1051876112.2795804"/>
    <n v="1051876112.2795804"/>
    <n v="616279880.15976942"/>
    <n v="9244198202.3965416"/>
    <n v="0.11378770654299508"/>
    <n v="3.7929235514331694E-2"/>
    <n v="0.3413631196289853"/>
  </r>
  <r>
    <s v="Nigeria"/>
    <s v="NGA"/>
    <s v="Lower middle income"/>
    <x v="4"/>
    <s v="SSA"/>
    <n v="68.964152792292879"/>
    <n v="159707780"/>
    <n v="273120384"/>
    <n v="62.6"/>
    <n v="102147023.616"/>
    <n v="102147023.616"/>
    <n v="41.153841544527403"/>
    <n v="4203742424.1379623"/>
    <n v="1.8630000000000001E-2"/>
    <n v="78315721.361690238"/>
    <n v="117473582.04253536"/>
    <n v="4321216006.1804981"/>
    <n v="4321216006.1804981"/>
    <n v="105572259626.5011"/>
    <n v="1583583894397.5166"/>
    <n v="2.7287572331774245E-3"/>
    <n v="9.0958574439247483E-4"/>
    <n v="8.1862716995322726E-3"/>
  </r>
  <r>
    <s v="Northern Mariana Islands"/>
    <s v="MNP"/>
    <s v="High income: nonOECD"/>
    <x v="3"/>
    <s v="N/A"/>
    <n v="162.92664529511597"/>
    <n v="53860"/>
    <n v="56623"/>
    <n v="97.2"/>
    <n v="1585.4440000000013"/>
    <n v="1585.4440000000013"/>
    <n v="162.92664529511597"/>
    <n v="258311.07222327008"/>
    <n v="1.8630000000000001E-2"/>
    <n v="4812.3352755195219"/>
    <n v="7218.5029132792824"/>
    <n v="265529.57513654936"/>
    <n v="265529.57513654936"/>
    <s v="N/A"/>
    <e v="#VALUE!"/>
    <e v="#VALUE!"/>
    <e v="#VALUE!"/>
    <e v="#VALUE!"/>
  </r>
  <r>
    <s v="Norway"/>
    <s v="NOR"/>
    <s v="High income: OECD"/>
    <x v="1"/>
    <s v="N/A"/>
    <s v="N/A"/>
    <n v="4889252"/>
    <n v="5837893"/>
    <n v="100"/>
    <n v="0"/>
    <n v="0"/>
    <s v="N/A"/>
    <e v="#VALUE!"/>
    <e v="#VALUE!"/>
    <e v="#VALUE!"/>
    <e v="#VALUE!"/>
    <e v="#VALUE!"/>
    <n v="0"/>
    <n v="55897649769.889412"/>
    <n v="838464746548.34119"/>
    <e v="#VALUE!"/>
    <e v="#VALUE!"/>
    <e v="#VALUE!"/>
  </r>
  <r>
    <s v="Oman"/>
    <s v="OMN"/>
    <s v="High income: nonOECD"/>
    <x v="2"/>
    <s v="W Asia"/>
    <n v="463.55505996404435"/>
    <n v="2802768"/>
    <n v="4920265"/>
    <n v="91.5"/>
    <n v="418222.52499999985"/>
    <n v="418222.52499999985"/>
    <n v="369.35483870967744"/>
    <n v="154472513.26612899"/>
    <n v="1.8630000000000001E-2"/>
    <n v="2877822.9221479832"/>
    <n v="4316734.3832219746"/>
    <n v="158789247.64935097"/>
    <n v="158789247.64935097"/>
    <n v="24681714780.510975"/>
    <n v="370225721707.66461"/>
    <n v="4.2889847554874419E-4"/>
    <n v="1.4296615851624807E-4"/>
    <n v="1.2866954266462325E-3"/>
  </r>
  <r>
    <s v="Pakistan"/>
    <s v="PAK"/>
    <s v="Lower middle income"/>
    <x v="0"/>
    <s v="S Asia"/>
    <n v="25.998990717254753"/>
    <n v="173149306"/>
    <n v="231743898"/>
    <n v="91.2"/>
    <n v="20393463.023999993"/>
    <n v="20393463.023999993"/>
    <n v="28.276926468967037"/>
    <n v="576664454.3772459"/>
    <n v="1.8630000000000001E-2"/>
    <n v="10743258.785048092"/>
    <n v="16114888.177572139"/>
    <n v="592779342.55481803"/>
    <n v="592779342.55481803"/>
    <n v="8516083273.6478567"/>
    <n v="127741249104.71785"/>
    <n v="4.6404692823136407E-3"/>
    <n v="1.5468230941045468E-3"/>
    <n v="1.392140784694092E-2"/>
  </r>
  <r>
    <s v="Palau"/>
    <s v="PLW"/>
    <s v="Upper middle income"/>
    <x v="3"/>
    <s v="N/A"/>
    <n v="162.92664529511597"/>
    <n v="20470"/>
    <n v="24836"/>
    <n v="95.2"/>
    <n v="1192.1279999999983"/>
    <n v="1192.1279999999983"/>
    <n v="162.92664529511597"/>
    <n v="194229.41580237573"/>
    <n v="1.8630000000000001E-2"/>
    <n v="3618.4940163982601"/>
    <n v="5427.7410245973897"/>
    <n v="199657.15682697314"/>
    <n v="199657.15682697314"/>
    <n v="0"/>
    <n v="0"/>
    <e v="#DIV/0!"/>
    <e v="#DIV/0!"/>
    <e v="#DIV/0!"/>
  </r>
  <r>
    <s v="Panama"/>
    <s v="PAN"/>
    <s v="Upper middle income"/>
    <x v="5"/>
    <s v="LAC"/>
    <n v="457.1136934673367"/>
    <n v="3678128"/>
    <n v="4882047"/>
    <n v="93.9"/>
    <n v="297804.86699999974"/>
    <n v="297804.86699999974"/>
    <n v="555.55555555555554"/>
    <n v="165447148.33333319"/>
    <n v="1.8630000000000001E-2"/>
    <n v="3082280.3734499975"/>
    <n v="4623420.560174996"/>
    <n v="170070568.8935082"/>
    <n v="170070568.8935082"/>
    <n v="223144062.80733454"/>
    <n v="3347160942.1100183"/>
    <n v="5.0810394789769904E-2"/>
    <n v="1.6936798263256635E-2"/>
    <n v="0.15243118436930972"/>
  </r>
  <r>
    <s v="Papua New Guinea"/>
    <s v="PNG"/>
    <s v="Lower middle income"/>
    <x v="3"/>
    <s v="Oceania"/>
    <n v="162.92664529511597"/>
    <n v="6858945"/>
    <n v="10044486"/>
    <n v="38.799999999999997"/>
    <n v="6147225.432000001"/>
    <n v="6147225.432000001"/>
    <n v="154.48471350475805"/>
    <n v="949652359.71168268"/>
    <n v="1.8630000000000001E-2"/>
    <n v="17692023.46142865"/>
    <n v="26538035.192142975"/>
    <n v="976190394.90382564"/>
    <n v="976190394.90382564"/>
    <n v="4102225109.4098563"/>
    <n v="61533376641.147842"/>
    <n v="1.5864404786312989E-2"/>
    <n v="5.2881349287709958E-3"/>
    <n v="4.7593214358938964E-2"/>
  </r>
  <r>
    <s v="Paraguay"/>
    <s v="PRY"/>
    <s v="Lower middle income"/>
    <x v="5"/>
    <s v="LAC"/>
    <n v="457.1136934673367"/>
    <n v="6459721"/>
    <n v="8693133"/>
    <n v="91.2"/>
    <n v="764995.70399999968"/>
    <n v="764995.70399999968"/>
    <n v="272.85415212840195"/>
    <n v="208732254.19678986"/>
    <n v="1.8630000000000001E-2"/>
    <n v="3888681.8956861952"/>
    <n v="5833022.8435292933"/>
    <n v="214565277.04031914"/>
    <n v="214565277.04031914"/>
    <n v="1106511912.5295491"/>
    <n v="16597678687.943237"/>
    <n v="1.2927426845308319E-2"/>
    <n v="4.3091422817694396E-3"/>
    <n v="3.8782280535924953E-2"/>
  </r>
  <r>
    <s v="Peru"/>
    <s v="PER"/>
    <s v="Upper middle income"/>
    <x v="5"/>
    <s v="LAC"/>
    <n v="457.1136934673367"/>
    <n v="29262830"/>
    <n v="36513996"/>
    <n v="85.9"/>
    <n v="5148473.435999996"/>
    <n v="5148473.435999996"/>
    <n v="399.69372128637059"/>
    <n v="2057812506.5788651"/>
    <n v="1.8630000000000001E-2"/>
    <n v="38337046.997564256"/>
    <n v="57505570.496346384"/>
    <n v="2115318077.0752115"/>
    <n v="2115318077.0752115"/>
    <n v="18873226426.094227"/>
    <n v="283098396391.41339"/>
    <n v="7.4720242291678729E-3"/>
    <n v="2.4906747430559575E-3"/>
    <n v="2.2416072687503619E-2"/>
  </r>
  <r>
    <s v="Philippines"/>
    <s v="PHL"/>
    <s v="Lower middle income"/>
    <x v="3"/>
    <s v="SE Asia"/>
    <n v="286.39139284675775"/>
    <n v="93444322"/>
    <n v="127797234"/>
    <n v="91.8"/>
    <n v="10479373.188000008"/>
    <n v="10479373.188000008"/>
    <n v="409.5428762095429"/>
    <n v="4291752636.2866902"/>
    <n v="1.8630000000000001E-2"/>
    <n v="79955351.614021048"/>
    <n v="119933027.42103156"/>
    <n v="4411685663.7077217"/>
    <n v="4411685663.7077217"/>
    <n v="7783755597.3120575"/>
    <n v="116756333959.68086"/>
    <n v="3.7785407558541505E-2"/>
    <n v="1.2595135852847168E-2"/>
    <n v="0.11335622267562452"/>
  </r>
  <r>
    <s v="Poland"/>
    <s v="POL"/>
    <s v="High income: OECD"/>
    <x v="1"/>
    <s v="N/A"/>
    <s v="N/A"/>
    <n v="38183683"/>
    <n v="37447642"/>
    <s v="N/A"/>
    <e v="#VALUE!"/>
    <n v="0"/>
    <s v="N/A"/>
    <e v="#VALUE!"/>
    <e v="#VALUE!"/>
    <e v="#VALUE!"/>
    <e v="#VALUE!"/>
    <e v="#VALUE!"/>
    <n v="0"/>
    <n v="8848984711.9180393"/>
    <n v="132734770678.77058"/>
    <e v="#VALUE!"/>
    <e v="#VALUE!"/>
    <e v="#VALUE!"/>
  </r>
  <r>
    <s v="Portugal"/>
    <s v="PRT"/>
    <s v="High income: OECD"/>
    <x v="1"/>
    <s v="N/A"/>
    <s v="N/A"/>
    <n v="10573100"/>
    <n v="10432816"/>
    <n v="99.5"/>
    <n v="52164.080000000045"/>
    <n v="52164.080000000045"/>
    <s v="N/A"/>
    <e v="#VALUE!"/>
    <e v="#VALUE!"/>
    <e v="#VALUE!"/>
    <e v="#VALUE!"/>
    <e v="#VALUE!"/>
    <n v="0"/>
    <n v="1382577582.3167782"/>
    <n v="20738663734.751671"/>
    <e v="#VALUE!"/>
    <e v="#VALUE!"/>
    <e v="#VALUE!"/>
  </r>
  <r>
    <s v="Puerto Rico"/>
    <s v="PRI"/>
    <s v="High income: nonOECD"/>
    <x v="5"/>
    <s v="LAC"/>
    <n v="457.1136934673367"/>
    <n v="3721208"/>
    <n v="3703707"/>
    <s v="N/A"/>
    <e v="#VALUE!"/>
    <n v="0"/>
    <s v="N/A"/>
    <e v="#VALUE!"/>
    <e v="#VALUE!"/>
    <e v="#VALUE!"/>
    <e v="#VALUE!"/>
    <e v="#VALUE!"/>
    <n v="0"/>
    <n v="0"/>
    <n v="0"/>
    <e v="#VALUE!"/>
    <e v="#VALUE!"/>
    <e v="#VALUE!"/>
  </r>
  <r>
    <s v="Qatar"/>
    <s v="QAT"/>
    <s v="High income: nonOECD"/>
    <x v="2"/>
    <s v="W Asia"/>
    <n v="463.55505996404435"/>
    <n v="1749713"/>
    <n v="2760329"/>
    <n v="100"/>
    <n v="0"/>
    <n v="0"/>
    <n v="573.77049180327867"/>
    <n v="0"/>
    <e v="#DIV/0!"/>
    <n v="0"/>
    <n v="0"/>
    <n v="0"/>
    <n v="0"/>
    <n v="36198411498.324532"/>
    <n v="542976172474.86798"/>
    <n v="0"/>
    <n v="0"/>
    <n v="0"/>
  </r>
  <r>
    <s v="Romania"/>
    <s v="ROM"/>
    <s v="Upper middle income"/>
    <x v="1"/>
    <s v="N/A"/>
    <s v="N/A"/>
    <n v="20246871"/>
    <n v="20232088"/>
    <s v="N/A"/>
    <e v="#VALUE!"/>
    <n v="0"/>
    <s v="N/A"/>
    <e v="#VALUE!"/>
    <e v="#VALUE!"/>
    <e v="#VALUE!"/>
    <e v="#VALUE!"/>
    <e v="#VALUE!"/>
    <n v="0"/>
    <n v="4151541416.0069842"/>
    <n v="62273121240.104767"/>
    <e v="#VALUE!"/>
    <e v="#VALUE!"/>
    <e v="#VALUE!"/>
  </r>
  <r>
    <s v="Russian Federation"/>
    <s v="RUS"/>
    <s v="High income: nonOECD"/>
    <x v="1"/>
    <s v="N/A"/>
    <n v="270.56505523889945"/>
    <n v="142389000"/>
    <n v="133556108"/>
    <n v="97"/>
    <n v="4006683.2400000035"/>
    <n v="4006683.2400000035"/>
    <n v="270.56505523889945"/>
    <n v="1084068472.1553736"/>
    <n v="1.8630000000000001E-2"/>
    <n v="20196195.636254609"/>
    <n v="30294293.454381913"/>
    <n v="1114362765.6097555"/>
    <n v="1114362765.6097555"/>
    <n v="321602181004.87122"/>
    <n v="4824032715073.0684"/>
    <n v="2.3100232345602502E-4"/>
    <n v="7.7000774485341678E-5"/>
    <n v="6.9300697036807509E-4"/>
  </r>
  <r>
    <s v="Rwanda"/>
    <s v="RWA"/>
    <s v="Low income"/>
    <x v="4"/>
    <s v="SSA"/>
    <n v="68.964152792292879"/>
    <n v="10836732"/>
    <n v="17771249"/>
    <n v="70.099999999999994"/>
    <n v="5313603.4510000004"/>
    <n v="5313603.4510000004"/>
    <n v="40.861072353996413"/>
    <n v="217119535.07175604"/>
    <n v="1.8630000000000001E-2"/>
    <n v="4044936.9383868151"/>
    <n v="6067405.4075802229"/>
    <n v="223186940.47933626"/>
    <n v="223186940.47933626"/>
    <n v="374942592.12015301"/>
    <n v="5624138881.8022947"/>
    <n v="3.9683753401163244E-2"/>
    <n v="1.322791780038775E-2"/>
    <n v="0.11905126020348973"/>
  </r>
  <r>
    <s v="Samoa"/>
    <s v="WSM"/>
    <s v="Lower middle income"/>
    <x v="3"/>
    <s v="Oceania"/>
    <n v="162.92664529511597"/>
    <n v="186029"/>
    <n v="211105"/>
    <n v="97.6"/>
    <n v="5066.5200000000041"/>
    <n v="5066.5200000000041"/>
    <n v="1000"/>
    <n v="5066520.0000000037"/>
    <n v="1.8630000000000001E-2"/>
    <n v="94389.267600000079"/>
    <n v="141583.90140000012"/>
    <n v="5208103.9014000036"/>
    <n v="5208103.9014000036"/>
    <n v="4184944.6022272655"/>
    <n v="62774169.033408985"/>
    <n v="8.2965716338327042E-2"/>
    <n v="2.765523877944235E-2"/>
    <n v="0.24889714901498114"/>
  </r>
  <r>
    <s v="San Marino"/>
    <s v="SMR"/>
    <s v="High income: nonOECD"/>
    <x v="1"/>
    <s v="N/A"/>
    <s v="N/A"/>
    <n v="30861"/>
    <n v="33108"/>
    <s v="N/A"/>
    <e v="#VALUE!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Sao Tome and Principe"/>
    <s v="STP"/>
    <s v="Lower middle income"/>
    <x v="4"/>
    <s v="SSA"/>
    <n v="68.964152792292879"/>
    <n v="178228"/>
    <n v="278192"/>
    <n v="95.3"/>
    <n v="13075.024000000012"/>
    <n v="13075.024000000012"/>
    <n v="68.964152792292879"/>
    <n v="901707.95289889723"/>
    <n v="1.8630000000000001E-2"/>
    <n v="16798.819162506457"/>
    <n v="25198.228743759686"/>
    <n v="926906.18164265691"/>
    <n v="926906.18164265691"/>
    <n v="6448878.1292010797"/>
    <n v="96733171.938016191"/>
    <n v="9.5820922964936113E-3"/>
    <n v="3.1940307654978704E-3"/>
    <n v="2.874627688948083E-2"/>
  </r>
  <r>
    <s v="Saudi Arabia"/>
    <s v="SAU"/>
    <s v="High income: nonOECD"/>
    <x v="2"/>
    <s v="W Asia"/>
    <n v="463.55505996404435"/>
    <n v="27258387"/>
    <n v="35634201"/>
    <n v="97"/>
    <n v="1069026.030000001"/>
    <n v="1069026.030000001"/>
    <n v="470.43752463539613"/>
    <n v="502909959.32400519"/>
    <n v="1.8630000000000001E-2"/>
    <n v="9369212.5422062166"/>
    <n v="14053818.813309325"/>
    <n v="516963778.1373145"/>
    <n v="516963778.1373145"/>
    <n v="227429658719.18033"/>
    <n v="3411444880787.7051"/>
    <n v="1.5153807146312361E-4"/>
    <n v="5.0512690487707877E-5"/>
    <n v="4.5461421438937083E-4"/>
  </r>
  <r>
    <s v="Senegal"/>
    <s v="SEN"/>
    <s v="Lower middle income"/>
    <x v="4"/>
    <s v="SSA"/>
    <n v="68.964152792292879"/>
    <n v="12950564"/>
    <n v="21855703"/>
    <n v="72.8"/>
    <n v="5944751.216"/>
    <n v="5944751.216"/>
    <n v="108.27181525648305"/>
    <n v="643649005.40450501"/>
    <n v="1.8630000000000001E-2"/>
    <n v="11991180.970685929"/>
    <n v="17986771.456028894"/>
    <n v="661635776.86053395"/>
    <n v="661635776.86053395"/>
    <n v="551591058.22012687"/>
    <n v="8273865873.3019028"/>
    <n v="7.9966944955622163E-2"/>
    <n v="2.6655648318540722E-2"/>
    <n v="0.23990083486686647"/>
  </r>
  <r>
    <s v="Serbia"/>
    <s v="SRB"/>
    <s v="Upper middle income"/>
    <x v="1"/>
    <s v="N/A"/>
    <s v="N/A"/>
    <n v="7291436"/>
    <n v="8582256"/>
    <n v="99.2"/>
    <n v="68658.048000000068"/>
    <n v="68658.048000000068"/>
    <s v="N/A"/>
    <e v="#VALUE!"/>
    <e v="#VALUE!"/>
    <e v="#VALUE!"/>
    <e v="#VALUE!"/>
    <e v="#VALUE!"/>
    <n v="0"/>
    <n v="1253506714.6213751"/>
    <n v="18802600719.320625"/>
    <e v="#VALUE!"/>
    <e v="#VALUE!"/>
    <e v="#VALUE!"/>
  </r>
  <r>
    <s v="Seychelles"/>
    <s v="SYC"/>
    <s v="Upper middle income"/>
    <x v="4"/>
    <s v="SSA"/>
    <n v="68.964152792292879"/>
    <n v="89770"/>
    <n v="98416"/>
    <n v="96.3"/>
    <n v="3641.392000000003"/>
    <n v="3641.392000000003"/>
    <n v="68.964152792292879"/>
    <n v="251125.51426463315"/>
    <n v="1.8630000000000001E-2"/>
    <n v="4678.4683307501155"/>
    <n v="7017.7024961251736"/>
    <n v="258143.21676075831"/>
    <n v="258143.21676075831"/>
    <n v="1160995.7542812461"/>
    <n v="17414936.314218692"/>
    <n v="1.4823092780993596E-2"/>
    <n v="4.9410309269978655E-3"/>
    <n v="4.4469278342980784E-2"/>
  </r>
  <r>
    <s v="Sierra Leone"/>
    <s v="SLE"/>
    <s v="Low income"/>
    <x v="4"/>
    <s v="SSA"/>
    <n v="68.964152792292879"/>
    <n v="5751976"/>
    <n v="8057580"/>
    <n v="57.9"/>
    <n v="3392241.18"/>
    <n v="3392241.18"/>
    <n v="70.468796655718123"/>
    <n v="239047153.92057332"/>
    <n v="1.8630000000000001E-2"/>
    <n v="4453448.4775402816"/>
    <n v="6680172.7163104229"/>
    <n v="245727326.63688374"/>
    <n v="245727326.63688374"/>
    <n v="309951994.2008189"/>
    <n v="4649279913.0122833"/>
    <n v="5.285277101710923E-2"/>
    <n v="1.7617590339036409E-2"/>
    <n v="0.1585583130513277"/>
  </r>
  <r>
    <s v="Singapore"/>
    <s v="SGP"/>
    <s v="High income: nonOECD"/>
    <x v="3"/>
    <s v="SE Asia"/>
    <n v="286.39139284675775"/>
    <n v="5076700"/>
    <n v="6577884"/>
    <n v="100"/>
    <n v="0"/>
    <n v="0"/>
    <n v="576.5765765765766"/>
    <n v="0"/>
    <e v="#DIV/0!"/>
    <n v="0"/>
    <n v="0"/>
    <n v="0"/>
    <n v="0"/>
    <n v="0"/>
    <n v="0"/>
    <e v="#DIV/0!"/>
    <e v="#DIV/0!"/>
    <e v="#DIV/0!"/>
  </r>
  <r>
    <s v="Sint Maarten (Dutch part)"/>
    <s v="SXM"/>
    <s v="High income: nonOECD"/>
    <x v="5"/>
    <s v="LAC"/>
    <n v="457.1136934673367"/>
    <n v="37850"/>
    <n v="56791"/>
    <s v="N/A"/>
    <e v="#VALUE!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Slovak Republic"/>
    <s v="SVK"/>
    <s v="High income: OECD"/>
    <x v="1"/>
    <s v="N/A"/>
    <s v="N/A"/>
    <n v="5391428"/>
    <n v="5395535"/>
    <n v="100"/>
    <n v="0"/>
    <n v="0"/>
    <s v="N/A"/>
    <e v="#VALUE!"/>
    <e v="#VALUE!"/>
    <e v="#VALUE!"/>
    <e v="#VALUE!"/>
    <e v="#VALUE!"/>
    <n v="0"/>
    <n v="586207377.22308779"/>
    <n v="8793110658.3463173"/>
    <e v="#VALUE!"/>
    <e v="#VALUE!"/>
    <e v="#VALUE!"/>
  </r>
  <r>
    <s v="Slovenia"/>
    <s v="SVN"/>
    <s v="High income: OECD"/>
    <x v="1"/>
    <s v="N/A"/>
    <s v="N/A"/>
    <n v="2048583"/>
    <n v="2086065.9999999998"/>
    <n v="99.6"/>
    <n v="8344.2640000000065"/>
    <n v="8344.2640000000065"/>
    <s v="N/A"/>
    <e v="#VALUE!"/>
    <e v="#VALUE!"/>
    <e v="#VALUE!"/>
    <e v="#VALUE!"/>
    <e v="#VALUE!"/>
    <n v="0"/>
    <n v="179102965.90790325"/>
    <n v="2686544488.6185489"/>
    <e v="#VALUE!"/>
    <e v="#VALUE!"/>
    <e v="#VALUE!"/>
  </r>
  <r>
    <s v="Solomon Islands"/>
    <s v="SLB"/>
    <s v="Lower middle income"/>
    <x v="3"/>
    <s v="Oceania"/>
    <n v="162.92664529511597"/>
    <n v="526447"/>
    <n v="764146"/>
    <n v="80.400000000000006"/>
    <n v="149772.61599999995"/>
    <n v="149772.61599999995"/>
    <n v="176.47058823529412"/>
    <n v="26430461.647058815"/>
    <n v="1.8630000000000001E-2"/>
    <n v="492399.50048470573"/>
    <n v="738599.25072705862"/>
    <n v="27169060.897785872"/>
    <n v="27169060.897785872"/>
    <n v="177911447.47763148"/>
    <n v="2668671712.1644721"/>
    <n v="1.0180743016813387E-2"/>
    <n v="3.3935810056044623E-3"/>
    <n v="3.054222905044016E-2"/>
  </r>
  <r>
    <s v="Somalia"/>
    <s v="SOM"/>
    <s v="Low income"/>
    <x v="4"/>
    <s v="SSA"/>
    <n v="68.964152792292879"/>
    <n v="9636173"/>
    <n v="16880129"/>
    <n v="31.5"/>
    <n v="11562888.365"/>
    <n v="11562888.365"/>
    <n v="72.418529154700963"/>
    <n v="837367368.17330503"/>
    <n v="1.8630000000000001E-2"/>
    <n v="15600154.069068674"/>
    <n v="23400231.103603013"/>
    <n v="860767599.27690804"/>
    <n v="860767599.27690804"/>
    <s v="N/A"/>
    <e v="#VALUE!"/>
    <e v="#VALUE!"/>
    <e v="#VALUE!"/>
    <e v="#VALUE!"/>
  </r>
  <r>
    <s v="South Africa"/>
    <s v="ZAF"/>
    <s v="Upper middle income"/>
    <x v="4"/>
    <s v="SSA"/>
    <n v="68.964152792292879"/>
    <n v="50895698"/>
    <n v="58095501"/>
    <n v="93.8"/>
    <n v="3601921.0620000032"/>
    <n v="3601921.0620000032"/>
    <n v="289.36017253774264"/>
    <n v="1042252499.9676502"/>
    <n v="1.8630000000000001E-2"/>
    <n v="19417164.074397322"/>
    <n v="29125746.111595985"/>
    <n v="1071378246.0792462"/>
    <n v="1071378246.0792462"/>
    <n v="29273625097.571095"/>
    <n v="439104376463.56641"/>
    <n v="2.4399170299960358E-3"/>
    <n v="8.1330567666534524E-4"/>
    <n v="7.3197510899881075E-3"/>
  </r>
  <r>
    <s v="South Sudan"/>
    <s v="SSD"/>
    <s v="Low income"/>
    <x v="4"/>
    <s v="SSA"/>
    <n v="68.964152792292879"/>
    <n v="9940929"/>
    <n v="17296842"/>
    <s v="N/A"/>
    <e v="#VALUE!"/>
    <n v="0"/>
    <s v="N/A"/>
    <e v="#VALUE!"/>
    <e v="#VALUE!"/>
    <e v="#VALUE!"/>
    <e v="#VALUE!"/>
    <e v="#VALUE!"/>
    <n v="0"/>
    <n v="0"/>
    <n v="0"/>
    <e v="#VALUE!"/>
    <e v="#VALUE!"/>
    <e v="#VALUE!"/>
  </r>
  <r>
    <s v="Spain"/>
    <s v="ESP"/>
    <s v="High income: OECD"/>
    <x v="1"/>
    <s v="N/A"/>
    <s v="N/A"/>
    <n v="46576897"/>
    <n v="48235492"/>
    <n v="100"/>
    <n v="0"/>
    <n v="0"/>
    <s v="N/A"/>
    <e v="#VALUE!"/>
    <e v="#VALUE!"/>
    <e v="#VALUE!"/>
    <e v="#VALUE!"/>
    <e v="#VALUE!"/>
    <n v="0"/>
    <n v="2120296778.8542163"/>
    <n v="31804451682.813244"/>
    <e v="#VALUE!"/>
    <e v="#VALUE!"/>
    <e v="#VALUE!"/>
  </r>
  <r>
    <s v="Sri Lanka"/>
    <s v="LKA"/>
    <s v="Lower middle income"/>
    <x v="0"/>
    <s v="S Asia"/>
    <n v="25.998990717254753"/>
    <n v="20653000"/>
    <n v="23271183"/>
    <n v="91.4"/>
    <n v="2001321.7379999992"/>
    <n v="2001321.7379999992"/>
    <n v="21.428571428571427"/>
    <n v="42885465.814285696"/>
    <n v="1.8630000000000001E-2"/>
    <n v="798956.22812014259"/>
    <n v="1198434.3421802139"/>
    <n v="44083900.15646591"/>
    <n v="44083900.15646591"/>
    <n v="464220477.24420649"/>
    <n v="6963307158.6630974"/>
    <n v="6.3308854761089826E-3"/>
    <n v="2.1102951587029942E-3"/>
    <n v="1.8992656428326947E-2"/>
  </r>
  <r>
    <s v="St. Kitts and Nevis"/>
    <s v="KNA"/>
    <s v="High income: nonOECD"/>
    <x v="5"/>
    <s v="LAC"/>
    <n v="457.1136934673367"/>
    <n v="52352"/>
    <n v="62581"/>
    <n v="98.3"/>
    <n v="1063.8770000000009"/>
    <n v="1063.8770000000009"/>
    <n v="457.1136934673367"/>
    <n v="486312.74486495019"/>
    <n v="1.8630000000000001E-2"/>
    <n v="9060.0064368340227"/>
    <n v="13590.009655251033"/>
    <n v="499902.75452020124"/>
    <n v="499902.75452020124"/>
    <n v="0"/>
    <n v="0"/>
    <e v="#DIV/0!"/>
    <e v="#DIV/0!"/>
    <e v="#DIV/0!"/>
  </r>
  <r>
    <s v="St. Lucia"/>
    <s v="LCA"/>
    <s v="Upper middle income"/>
    <x v="5"/>
    <s v="LAC"/>
    <n v="457.1136934673367"/>
    <n v="177397"/>
    <n v="201817"/>
    <n v="93.8"/>
    <n v="12512.654000000011"/>
    <n v="12512.654000000011"/>
    <n v="457.1136934673367"/>
    <n v="5719705.4850188494"/>
    <n v="1.8630000000000001E-2"/>
    <n v="106558.11318590117"/>
    <n v="159837.16977885173"/>
    <n v="5879542.6547977012"/>
    <n v="5879542.6547977012"/>
    <n v="643469.71291057637"/>
    <n v="9652045.6936586462"/>
    <n v="0.60914989851949586"/>
    <n v="0.20304996617316529"/>
    <n v="1.8274496955584874"/>
  </r>
  <r>
    <s v="St. Martin (French part)"/>
    <s v="MAF"/>
    <s v="High income: nonOECD"/>
    <x v="5"/>
    <s v="LAC"/>
    <n v="457.1136934673367"/>
    <n v="30235"/>
    <s v="N/A"/>
    <s v="N/A"/>
    <e v="#VALUE!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St. Vincent and the Grenadines"/>
    <s v="VCT"/>
    <s v="Upper middle income"/>
    <x v="5"/>
    <s v="LAC"/>
    <n v="457.1136934673367"/>
    <n v="109316"/>
    <n v="110012"/>
    <n v="95.1"/>
    <n v="5390.5880000000052"/>
    <n v="5390.5880000000052"/>
    <n v="457.1136934673367"/>
    <n v="2464111.590640706"/>
    <n v="1.8630000000000001E-2"/>
    <n v="45906.398933636352"/>
    <n v="68859.598400454532"/>
    <n v="2532971.1890411605"/>
    <n v="2532971.1890411605"/>
    <n v="486293.25308693683"/>
    <n v="7294398.7963040527"/>
    <n v="0.34724879455789748"/>
    <n v="0.11574959818596584"/>
    <n v="1.0417463836736924"/>
  </r>
  <r>
    <s v="Sudan"/>
    <s v="SDN"/>
    <s v="Lower middle income"/>
    <x v="4"/>
    <s v="SSA"/>
    <n v="68.964152792292879"/>
    <n v="35652002"/>
    <n v="55077835"/>
    <n v="54.9"/>
    <n v="24840103.585000005"/>
    <n v="24840103.585000005"/>
    <n v="106.13249776186213"/>
    <n v="2636342238.1394362"/>
    <n v="1.8630000000000001E-2"/>
    <n v="49115055.896537699"/>
    <n v="73672583.844806537"/>
    <n v="2710014821.9842429"/>
    <n v="2710014821.9842429"/>
    <n v="11997149674.977474"/>
    <n v="179957245124.66211"/>
    <n v="1.5059214871326405E-2"/>
    <n v="5.0197382904421349E-3"/>
    <n v="4.5177644613979211E-2"/>
  </r>
  <r>
    <s v="Suriname"/>
    <s v="SUR"/>
    <s v="Upper middle income"/>
    <x v="5"/>
    <s v="LAC"/>
    <n v="457.1136934673367"/>
    <n v="524960"/>
    <n v="603805"/>
    <n v="94.3"/>
    <n v="34416.885000000031"/>
    <n v="34416.885000000031"/>
    <n v="406.77966101694915"/>
    <n v="14000088.813559335"/>
    <n v="1.8630000000000001E-2"/>
    <n v="260821.6545966104"/>
    <n v="391232.48189491557"/>
    <n v="14391321.295454251"/>
    <n v="14391321.295454251"/>
    <n v="608902361.97083366"/>
    <n v="9133535429.5625057"/>
    <n v="1.5756572475619764E-3"/>
    <n v="5.2521908252065876E-4"/>
    <n v="4.7269717426859292E-3"/>
  </r>
  <r>
    <s v="Swaziland"/>
    <s v="SWZ"/>
    <s v="Lower middle income"/>
    <x v="4"/>
    <s v="SSA"/>
    <n v="68.964152792292879"/>
    <n v="1193148"/>
    <n v="1515527"/>
    <n v="70.3"/>
    <n v="450111.51900000009"/>
    <n v="450111.51900000009"/>
    <n v="234.74178403755869"/>
    <n v="105659980.98591551"/>
    <n v="1.8630000000000001E-2"/>
    <n v="1968445.4457676061"/>
    <n v="2952668.1686514094"/>
    <n v="108612649.15456691"/>
    <n v="108612649.15456691"/>
    <n v="92945139.393425897"/>
    <n v="1394177090.9013884"/>
    <n v="7.7904485637721038E-2"/>
    <n v="2.5968161879240344E-2"/>
    <n v="0.23371345691316314"/>
  </r>
  <r>
    <s v="Sweden"/>
    <s v="SWE"/>
    <s v="High income: OECD"/>
    <x v="1"/>
    <s v="N/A"/>
    <s v="N/A"/>
    <n v="9378126"/>
    <n v="10690986"/>
    <n v="100"/>
    <n v="0"/>
    <n v="0"/>
    <s v="N/A"/>
    <e v="#VALUE!"/>
    <e v="#VALUE!"/>
    <e v="#VALUE!"/>
    <e v="#VALUE!"/>
    <e v="#VALUE!"/>
    <n v="0"/>
    <n v="6600024142.4592056"/>
    <n v="99000362136.888092"/>
    <e v="#VALUE!"/>
    <e v="#VALUE!"/>
    <e v="#VALUE!"/>
  </r>
  <r>
    <s v="Switzerland"/>
    <s v="CHE"/>
    <s v="High income: OECD"/>
    <x v="1"/>
    <s v="N/A"/>
    <s v="N/A"/>
    <n v="7824909"/>
    <n v="9477452"/>
    <n v="100"/>
    <n v="0"/>
    <n v="0"/>
    <s v="N/A"/>
    <e v="#VALUE!"/>
    <e v="#VALUE!"/>
    <e v="#VALUE!"/>
    <e v="#VALUE!"/>
    <e v="#VALUE!"/>
    <n v="0"/>
    <n v="278578079.29358196"/>
    <n v="4178671189.4037294"/>
    <e v="#VALUE!"/>
    <e v="#VALUE!"/>
    <e v="#VALUE!"/>
  </r>
  <r>
    <s v="Syrian Arab Republic"/>
    <s v="SYR"/>
    <s v="Lower middle income"/>
    <x v="2"/>
    <s v="W Asia"/>
    <n v="463.55505996404435"/>
    <n v="21532647"/>
    <n v="29933865"/>
    <n v="89.7"/>
    <n v="3083188.0949999993"/>
    <n v="3083188.0949999993"/>
    <n v="463.55505996404435"/>
    <n v="1429227442.2581522"/>
    <n v="1.8630000000000001E-2"/>
    <n v="26626507.249269377"/>
    <n v="39939760.873904064"/>
    <n v="1469167203.1320562"/>
    <n v="1469167203.1320562"/>
    <s v="N/A"/>
    <e v="#VALUE!"/>
    <e v="#VALUE!"/>
    <e v="#VALUE!"/>
    <e v="#VALUE!"/>
  </r>
  <r>
    <s v="Tajikistan"/>
    <s v="TJK"/>
    <s v="Low income"/>
    <x v="1"/>
    <s v="CCA"/>
    <n v="270.56505523889945"/>
    <n v="7627326"/>
    <n v="11407028"/>
    <n v="69.7"/>
    <n v="3456329.4839999992"/>
    <n v="3456329.4839999992"/>
    <n v="203.28478462968701"/>
    <n v="702619194.76417708"/>
    <n v="1.8630000000000001E-2"/>
    <n v="13089795.598456619"/>
    <n v="19634693.397684928"/>
    <n v="722253888.16186202"/>
    <n v="722253888.16186202"/>
    <n v="89930664.353367537"/>
    <n v="1348959965.300513"/>
    <n v="0.53541536201258777"/>
    <n v="0.17847178733752928"/>
    <n v="1.6062460860377634"/>
  </r>
  <r>
    <s v="Tanzania"/>
    <s v="TZA"/>
    <s v="Low income"/>
    <x v="4"/>
    <s v="SSA"/>
    <n v="68.964152792292879"/>
    <n v="44973330"/>
    <n v="79354326"/>
    <n v="53.4"/>
    <n v="36979115.916000001"/>
    <n v="36979115.916000001"/>
    <n v="68.964152792292879"/>
    <n v="2550233400.1549335"/>
    <n v="1.8630000000000001E-2"/>
    <n v="47510848.244886413"/>
    <n v="71266272.367329627"/>
    <n v="2621499672.5222631"/>
    <n v="2621499672.5222631"/>
    <n v="2569147998.6777964"/>
    <n v="38537219980.166946"/>
    <n v="6.8025137097886393E-2"/>
    <n v="2.2675045699295463E-2"/>
    <n v="0.20407541129365916"/>
  </r>
  <r>
    <s v="Thailand"/>
    <s v="THA"/>
    <s v="Upper middle income"/>
    <x v="3"/>
    <s v="SE Asia"/>
    <n v="286.39139284675775"/>
    <n v="66402316"/>
    <n v="67554088"/>
    <n v="95.8"/>
    <n v="2837271.6960000023"/>
    <n v="2837271.6960000023"/>
    <n v="264.38962681846931"/>
    <n v="750145204.88804615"/>
    <n v="1.8630000000000001E-2"/>
    <n v="13975205.1670643"/>
    <n v="20962807.750596449"/>
    <n v="771108012.63864255"/>
    <n v="771108012.63864255"/>
    <n v="13671322551.946495"/>
    <n v="205069838279.19742"/>
    <n v="3.7602214889778107E-3"/>
    <n v="1.2534071629926036E-3"/>
    <n v="1.1280664466933434E-2"/>
  </r>
  <r>
    <s v="Timor-Leste"/>
    <s v="TMP"/>
    <s v="Lower middle income"/>
    <x v="3"/>
    <s v="SE Asia"/>
    <n v="286.39139284675775"/>
    <n v="1142502"/>
    <n v="1555457"/>
    <n v="67.7"/>
    <n v="502412.61099999992"/>
    <n v="502412.61099999992"/>
    <n v="163.79310344827587"/>
    <n v="82291720.767241374"/>
    <n v="1.8630000000000001E-2"/>
    <n v="1533094.7578937069"/>
    <n v="2299642.1368405605"/>
    <n v="84591362.904081941"/>
    <n v="84591362.904081941"/>
    <n v="6029932.4922673218"/>
    <n v="90448987.384009823"/>
    <n v="0.93523836308903296"/>
    <n v="0.31174612102967769"/>
    <n v="2.8057150892670988"/>
  </r>
  <r>
    <s v="Togo"/>
    <s v="TGO"/>
    <s v="Low income"/>
    <x v="4"/>
    <s v="SSA"/>
    <n v="68.964152792292879"/>
    <n v="6306014"/>
    <n v="10014965"/>
    <n v="58.8"/>
    <n v="4126165.5800000005"/>
    <n v="4126165.5800000005"/>
    <n v="41.135573580533027"/>
    <n v="169732187.82155275"/>
    <n v="1.8630000000000001E-2"/>
    <n v="3162110.6591155278"/>
    <n v="4743165.9886732912"/>
    <n v="174475353.81022605"/>
    <n v="174475353.81022605"/>
    <n v="289914233.93356359"/>
    <n v="4348713509.0034542"/>
    <n v="4.0121142367506434E-2"/>
    <n v="1.3373714122502144E-2"/>
    <n v="0.12036342710251929"/>
  </r>
  <r>
    <s v="Tonga"/>
    <s v="TON"/>
    <s v="Upper middle income"/>
    <x v="3"/>
    <s v="Oceania"/>
    <n v="162.92664529511597"/>
    <n v="104098"/>
    <n v="120995"/>
    <n v="99.2"/>
    <n v="967.96000000000083"/>
    <n v="967.96000000000083"/>
    <n v="500"/>
    <n v="483980.00000000041"/>
    <n v="1.8630000000000001E-2"/>
    <n v="9016.5474000000086"/>
    <n v="13524.821100000012"/>
    <n v="497504.82110000041"/>
    <n v="497504.82110000041"/>
    <n v="258294.04268454493"/>
    <n v="3874410.640268174"/>
    <n v="0.12840787084601976"/>
    <n v="4.2802623615339916E-2"/>
    <n v="0.38522361253805931"/>
  </r>
  <r>
    <s v="Trinidad and Tobago"/>
    <s v="TTO"/>
    <s v="High income: nonOECD"/>
    <x v="5"/>
    <s v="LAC"/>
    <n v="457.1136934673367"/>
    <n v="1328095"/>
    <n v="1307826"/>
    <n v="93.6"/>
    <n v="83700.864000000074"/>
    <n v="83700.864000000074"/>
    <n v="457.1136934673367"/>
    <n v="38260811.089447275"/>
    <n v="1.8630000000000001E-2"/>
    <n v="712798.91059640271"/>
    <n v="1069198.365894604"/>
    <n v="39330009.455341876"/>
    <n v="39330009.455341876"/>
    <n v="8121778589.9499531"/>
    <n v="121826678849.2493"/>
    <n v="3.2283576821469124E-4"/>
    <n v="1.0761192273823041E-4"/>
    <n v="9.6850730464407371E-4"/>
  </r>
  <r>
    <s v="Tunisia"/>
    <s v="TUN"/>
    <s v="Upper middle income"/>
    <x v="2"/>
    <s v="N Africa"/>
    <n v="412.83830673143649"/>
    <n v="10549100"/>
    <n v="12561225"/>
    <n v="95.9"/>
    <n v="515010.22499999905"/>
    <n v="515010.22499999905"/>
    <n v="396.64218258132212"/>
    <n v="204274779.6956974"/>
    <n v="1.8630000000000001E-2"/>
    <n v="3805639.1457308428"/>
    <n v="5708458.7185962638"/>
    <n v="209983238.41429365"/>
    <n v="209983238.41429365"/>
    <n v="2923132889.5717616"/>
    <n v="43846993343.576424"/>
    <n v="4.7889997101718297E-3"/>
    <n v="1.5963332367239433E-3"/>
    <n v="1.4366999130515489E-2"/>
  </r>
  <r>
    <s v="Turkey"/>
    <s v="TUR"/>
    <s v="Upper middle income"/>
    <x v="1"/>
    <s v="W Asia"/>
    <n v="463.55505996404435"/>
    <n v="72137546"/>
    <n v="86825345"/>
    <n v="99.6"/>
    <n v="347301.3800000003"/>
    <n v="347301.3800000003"/>
    <n v="1011.7944397641112"/>
    <n v="351397605.20640302"/>
    <n v="1.8630000000000001E-2"/>
    <n v="6546537.3849952882"/>
    <n v="9819806.0774929319"/>
    <n v="361217411.28389597"/>
    <n v="361217411.28389597"/>
    <n v="4369682103.2413588"/>
    <n v="65545231548.620384"/>
    <n v="5.5109639976777076E-3"/>
    <n v="1.8369879992259025E-3"/>
    <n v="1.6532891993033122E-2"/>
  </r>
  <r>
    <s v="Turkmenistan"/>
    <s v="TKM"/>
    <s v="Upper middle income"/>
    <x v="1"/>
    <s v="CCA"/>
    <n v="270.56505523889945"/>
    <n v="5041995"/>
    <n v="6159875"/>
    <n v="70.8"/>
    <n v="1798683.5000000002"/>
    <n v="1798683.5000000002"/>
    <n v="296.84763572679509"/>
    <n v="533934944.3957969"/>
    <n v="1.8630000000000001E-2"/>
    <n v="9947208.0140936971"/>
    <n v="14920812.021140546"/>
    <n v="548855756.41693747"/>
    <n v="548855756.41693747"/>
    <n v="8829721321.8512516"/>
    <n v="132445819827.76877"/>
    <n v="4.1440021069042727E-3"/>
    <n v="1.3813340356347576E-3"/>
    <n v="1.243200632071282E-2"/>
  </r>
  <r>
    <s v="Turks and Caicos Islands"/>
    <s v="TCA"/>
    <s v="High income: nonOECD"/>
    <x v="5"/>
    <s v="LAC"/>
    <n v="457.1136934673367"/>
    <n v="30993"/>
    <n v="40698"/>
    <s v="N/A"/>
    <e v="#VALUE!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Tuvalu"/>
    <s v="TUV"/>
    <s v="Upper middle income"/>
    <x v="3"/>
    <s v="N/A"/>
    <n v="162.92664529511597"/>
    <n v="9827"/>
    <n v="10707"/>
    <n v="97.7"/>
    <n v="246.26100000000022"/>
    <n v="246.26100000000022"/>
    <n v="162.92664529511597"/>
    <n v="40122.478597020592"/>
    <n v="1.8630000000000001E-2"/>
    <n v="747.48177626249367"/>
    <n v="1121.2226643937406"/>
    <n v="41243.701261414331"/>
    <n v="41243.701261414331"/>
    <n v="0"/>
    <n v="0"/>
    <e v="#DIV/0!"/>
    <e v="#DIV/0!"/>
    <e v="#DIV/0!"/>
  </r>
  <r>
    <s v="Uganda"/>
    <s v="UGA"/>
    <s v="Low income"/>
    <x v="4"/>
    <s v="SSA"/>
    <n v="68.964152792292879"/>
    <n v="33987213"/>
    <n v="63387713"/>
    <n v="71.7"/>
    <n v="17938722.778999995"/>
    <n v="17938722.778999995"/>
    <n v="44.988720592974538"/>
    <n v="807040186.89925849"/>
    <n v="1.8630000000000001E-2"/>
    <n v="15035158.681933187"/>
    <n v="22552738.02289978"/>
    <n v="829592924.92215824"/>
    <n v="829592924.92215824"/>
    <n v="2346264440.3663912"/>
    <n v="35193966605.495865"/>
    <n v="2.3572021142754893E-2"/>
    <n v="7.8573403809182978E-3"/>
    <n v="7.0716063428264683E-2"/>
  </r>
  <r>
    <s v="Ukraine"/>
    <s v="UKR"/>
    <s v="Lower middle income"/>
    <x v="1"/>
    <s v="N/A"/>
    <n v="270.56505523889945"/>
    <n v="45870700"/>
    <n v="39841900"/>
    <n v="98"/>
    <n v="796838.0000000007"/>
    <n v="796838.0000000007"/>
    <n v="270.56505523889945"/>
    <n v="215596517.48645434"/>
    <n v="1.8630000000000001E-2"/>
    <n v="4016563.1207726444"/>
    <n v="6024844.6811589664"/>
    <n v="221621362.1676133"/>
    <n v="221621362.1676133"/>
    <n v="7490439523.5188084"/>
    <n v="112356592852.78212"/>
    <n v="1.9724820461403448E-3"/>
    <n v="6.5749401538011483E-4"/>
    <n v="5.917446138421034E-3"/>
  </r>
  <r>
    <s v="United Arab Emirates"/>
    <s v="ARE"/>
    <s v="High income: nonOECD"/>
    <x v="2"/>
    <s v="W Asia"/>
    <n v="463.55505996404435"/>
    <n v="8441537"/>
    <n v="12330367"/>
    <n v="99.6"/>
    <n v="49321.468000000044"/>
    <n v="49321.468000000044"/>
    <s v="N/A"/>
    <e v="#VALUE!"/>
    <e v="#VALUE!"/>
    <e v="#VALUE!"/>
    <e v="#VALUE!"/>
    <e v="#VALUE!"/>
    <n v="0"/>
    <n v="62330586907.323227"/>
    <n v="934958803609.84839"/>
    <e v="#VALUE!"/>
    <e v="#VALUE!"/>
    <e v="#VALUE!"/>
  </r>
  <r>
    <s v="United Kingdom"/>
    <s v="GBR"/>
    <s v="High income: OECD"/>
    <x v="1"/>
    <s v="N/A"/>
    <s v="N/A"/>
    <n v="62747868"/>
    <n v="68630898"/>
    <n v="100"/>
    <n v="0"/>
    <n v="0"/>
    <s v="N/A"/>
    <e v="#VALUE!"/>
    <e v="#VALUE!"/>
    <e v="#VALUE!"/>
    <e v="#VALUE!"/>
    <e v="#VALUE!"/>
    <n v="0"/>
    <n v="35339743590.988991"/>
    <n v="530096153864.83484"/>
    <e v="#VALUE!"/>
    <e v="#VALUE!"/>
    <e v="#VALUE!"/>
  </r>
  <r>
    <s v="United States"/>
    <s v="USA"/>
    <s v="High income: OECD"/>
    <x v="6"/>
    <s v="N/A"/>
    <s v="N/A"/>
    <n v="309326225"/>
    <n v="362628830"/>
    <n v="99.1"/>
    <n v="3263659.470000003"/>
    <n v="3263659.470000003"/>
    <s v="N/A"/>
    <e v="#VALUE!"/>
    <e v="#VALUE!"/>
    <e v="#VALUE!"/>
    <e v="#VALUE!"/>
    <e v="#VALUE!"/>
    <n v="0"/>
    <n v="183742824092.28073"/>
    <n v="2756142361384.2109"/>
    <e v="#VALUE!"/>
    <e v="#VALUE!"/>
    <e v="#VALUE!"/>
  </r>
  <r>
    <s v="Uruguay"/>
    <s v="URY"/>
    <s v="High income: nonOECD"/>
    <x v="5"/>
    <s v="LAC"/>
    <n v="457.1136934673367"/>
    <n v="3371982"/>
    <n v="3581432"/>
    <n v="99.1"/>
    <n v="32232.888000000028"/>
    <n v="32232.888000000028"/>
    <n v="577.46478873239437"/>
    <n v="18613357.859154947"/>
    <n v="1.8630000000000001E-2"/>
    <n v="346766.85691605665"/>
    <n v="520150.28537408495"/>
    <n v="19133508.144529033"/>
    <n v="19133508.144529033"/>
    <n v="1344798564.3950837"/>
    <n v="20171978465.926254"/>
    <n v="9.4851916369277482E-4"/>
    <n v="3.1617305456425827E-4"/>
    <n v="2.8455574910783246E-3"/>
  </r>
  <r>
    <s v="Uzbekistan"/>
    <s v="UZB"/>
    <s v="Lower middle income"/>
    <x v="1"/>
    <s v="CCA"/>
    <n v="270.56505523889945"/>
    <n v="28562400"/>
    <n v="34146873"/>
    <n v="87.3"/>
    <n v="4336652.8710000003"/>
    <n v="4336652.8710000003"/>
    <n v="253.41543197998845"/>
    <n v="1098974760.6517222"/>
    <n v="1.8630000000000001E-2"/>
    <n v="20473899.790941585"/>
    <n v="30710849.686412375"/>
    <n v="1129685610.3381345"/>
    <n v="1129685610.3381345"/>
    <n v="10682101144.876232"/>
    <n v="160231517173.14349"/>
    <n v="7.0503333568102912E-3"/>
    <n v="2.3501111189367634E-3"/>
    <n v="2.1151000070430873E-2"/>
  </r>
  <r>
    <s v="Vanuatu"/>
    <s v="VUT"/>
    <s v="Lower middle income"/>
    <x v="3"/>
    <s v="Oceania"/>
    <n v="162.92664529511597"/>
    <n v="236299"/>
    <n v="352225"/>
    <n v="89.3"/>
    <n v="37688.074999999997"/>
    <n v="37688.074999999997"/>
    <n v="321.42857142857144"/>
    <n v="12114024.107142856"/>
    <n v="1.8630000000000001E-2"/>
    <n v="225684.26911607143"/>
    <n v="338526.40367410716"/>
    <n v="12452550.510816963"/>
    <n v="12452550.510816963"/>
    <n v="7861829.9212791082"/>
    <n v="117927448.81918663"/>
    <n v="0.10559501316703589"/>
    <n v="3.5198337722345298E-2"/>
    <n v="0.3167850395011077"/>
  </r>
  <r>
    <s v="Venezuela, RB"/>
    <s v="VEN"/>
    <s v="Upper middle income"/>
    <x v="5"/>
    <s v="LAC"/>
    <n v="457.1136934673367"/>
    <n v="29043283"/>
    <n v="37172167"/>
    <s v="N/A"/>
    <e v="#VALUE!"/>
    <n v="0"/>
    <s v="N/A"/>
    <e v="#VALUE!"/>
    <e v="#VALUE!"/>
    <e v="#VALUE!"/>
    <e v="#VALUE!"/>
    <e v="#VALUE!"/>
    <n v="0"/>
    <n v="80589397008.56813"/>
    <n v="1208840955128.522"/>
    <e v="#VALUE!"/>
    <e v="#VALUE!"/>
    <e v="#VALUE!"/>
  </r>
  <r>
    <s v="Vietnam"/>
    <s v="VNM"/>
    <s v="Lower middle income"/>
    <x v="3"/>
    <s v="SE Asia"/>
    <n v="286.39139284675775"/>
    <n v="86932500"/>
    <n v="101830324"/>
    <n v="92.3"/>
    <n v="7840934.9480000073"/>
    <n v="7840934.9480000073"/>
    <n v="286.39139284675775"/>
    <n v="2245576280.9785423"/>
    <n v="1.8630000000000001E-2"/>
    <n v="41835086.114630245"/>
    <n v="62752629.171945363"/>
    <n v="2308328910.1504879"/>
    <n v="2308328910.1504879"/>
    <n v="13594414917.099127"/>
    <n v="203916223756.48691"/>
    <n v="1.1319986549510904E-2"/>
    <n v="3.7733288498369684E-3"/>
    <n v="3.3959959648532718E-2"/>
  </r>
  <r>
    <s v="Virgin Islands (U.S.)"/>
    <s v="VIR"/>
    <s v="High income: nonOECD"/>
    <x v="5"/>
    <s v="LAC"/>
    <n v="457.1136934673367"/>
    <n v="106267"/>
    <n v="104912"/>
    <n v="100"/>
    <n v="0"/>
    <n v="0"/>
    <s v="N/A"/>
    <e v="#VALUE!"/>
    <e v="#VALUE!"/>
    <e v="#VALUE!"/>
    <e v="#VALUE!"/>
    <e v="#VALUE!"/>
    <n v="0"/>
    <s v="N/A"/>
    <e v="#VALUE!"/>
    <e v="#VALUE!"/>
    <e v="#VALUE!"/>
    <e v="#VALUE!"/>
  </r>
  <r>
    <s v="West Bank and Gaza"/>
    <s v="WBG"/>
    <s v="Lower middle income"/>
    <x v="2"/>
    <s v="N/A"/>
    <s v="N/A"/>
    <n v="3811102"/>
    <s v="N/A"/>
    <n v="81.8"/>
    <m/>
    <n v="0"/>
    <s v="N/A"/>
    <e v="#VALUE!"/>
    <e v="#VALUE!"/>
    <e v="#VALUE!"/>
    <e v="#VALUE!"/>
    <e v="#VALUE!"/>
    <n v="0"/>
    <s v="N/A"/>
    <e v="#VALUE!"/>
    <e v="#VALUE!"/>
    <e v="#VALUE!"/>
    <e v="#VALUE!"/>
  </r>
  <r>
    <s v="Yemen, Rep."/>
    <s v="YEM"/>
    <s v="Lower middle income"/>
    <x v="2"/>
    <s v="W Asia"/>
    <n v="463.55505996404435"/>
    <n v="22763008"/>
    <n v="33991041"/>
    <n v="54.6"/>
    <n v="15431932.613999998"/>
    <n v="15431932.613999998"/>
    <n v="463.55505996404435"/>
    <n v="7153550448.2438612"/>
    <n v="1.8630000000000001E-2"/>
    <n v="133270644.85078314"/>
    <n v="199905967.27617472"/>
    <n v="7353456415.5200357"/>
    <n v="7353456415.5200357"/>
    <n v="6972508226.6016922"/>
    <n v="104587623399.02539"/>
    <n v="7.0309049737796794E-2"/>
    <n v="2.3436349912598929E-2"/>
    <n v="0.2109271492133904"/>
  </r>
  <r>
    <s v="Zambia"/>
    <s v="ZMB"/>
    <s v="Lower middle income"/>
    <x v="4"/>
    <s v="SSA"/>
    <n v="68.964152792292879"/>
    <n v="13216985"/>
    <n v="24956509"/>
    <n v="61.7"/>
    <n v="9558342.9470000006"/>
    <n v="9558342.9470000006"/>
    <n v="79.371938922500718"/>
    <n v="758664212.58959961"/>
    <n v="1.8630000000000001E-2"/>
    <n v="14133914.280544242"/>
    <n v="21200871.420816362"/>
    <n v="779865084.01041603"/>
    <n v="779865084.01041603"/>
    <n v="4492889935.3189192"/>
    <n v="67393349029.783791"/>
    <n v="1.1571840474432615E-2"/>
    <n v="3.8572801581442046E-3"/>
    <n v="3.471552142329784E-2"/>
  </r>
  <r>
    <s v="Zimbabwe"/>
    <s v="ZWE"/>
    <s v="Low income"/>
    <x v="4"/>
    <s v="SSA"/>
    <n v="68.964152792292879"/>
    <n v="13076978"/>
    <n v="20292380"/>
    <n v="79.8"/>
    <n v="4099060.7600000012"/>
    <n v="4099060.7600000012"/>
    <n v="104.56176319835981"/>
    <n v="428605020.52280891"/>
    <n v="1.8630000000000001E-2"/>
    <n v="7984911.5323399305"/>
    <n v="11977367.298509896"/>
    <n v="440582387.82131881"/>
    <n v="440582387.82131881"/>
    <n v="996384461.46226156"/>
    <n v="14945766921.933924"/>
    <n v="2.9478740711173165E-2"/>
    <n v="9.8262469037243873E-3"/>
    <n v="8.8436222133519496E-2"/>
  </r>
  <r>
    <m/>
    <m/>
    <m/>
    <x v="7"/>
    <m/>
    <m/>
    <m/>
    <m/>
    <m/>
    <m/>
    <m/>
    <m/>
    <m/>
    <m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15">
  <r>
    <s v="Afghanistan"/>
    <s v="AFG"/>
    <s v="Low income"/>
    <x v="0"/>
    <m/>
    <n v="28397812"/>
    <n v="43499632"/>
    <n v="64"/>
    <n v="1.1004620318530163"/>
    <n v="70.429570038593042"/>
    <n v="41"/>
    <n v="25664782.880000003"/>
    <n v="25664782.880000003"/>
    <n v="5.8613944938892791E-2"/>
    <n v="1807559623.3722439"/>
    <n v="1807559623.3722439"/>
    <n v="275432181.35267156"/>
    <n v="4131482720.2900734"/>
    <n v="0.43750869742118498"/>
    <n v="0.14583623247372832"/>
    <n v="1.3125260922635549"/>
  </r>
  <r>
    <s v="Albania"/>
    <s v="ALB"/>
    <s v="Upper middle income"/>
    <x v="1"/>
    <m/>
    <n v="3150143"/>
    <n v="3310564"/>
    <s v="N/A"/>
    <n v="1.1004620318530163"/>
    <e v="#VALUE!"/>
    <n v="100"/>
    <n v="0"/>
    <n v="0"/>
    <n v="0"/>
    <e v="#VALUE!"/>
    <n v="0"/>
    <n v="411495291.46132761"/>
    <n v="6172429371.9199142"/>
    <e v="#VALUE!"/>
    <e v="#VALUE!"/>
    <e v="#VALUE!"/>
  </r>
  <r>
    <s v="Algeria"/>
    <s v="DZA"/>
    <s v="Upper middle income"/>
    <x v="2"/>
    <s v="North Africa"/>
    <n v="37062820"/>
    <n v="48561408"/>
    <n v="326.89002158513563"/>
    <n v="1.1004620318530163"/>
    <n v="359.73005734605471"/>
    <n v="99.3"/>
    <n v="339929.85600000032"/>
    <n v="339929.85600000032"/>
    <n v="2.7075295212977562E-2"/>
    <n v="122282986.59251623"/>
    <n v="122282986.59251623"/>
    <n v="41290138275.752869"/>
    <n v="619352074136.29297"/>
    <n v="1.9743695338881996E-4"/>
    <n v="6.5812317796273319E-5"/>
    <n v="5.9231086016645984E-4"/>
  </r>
  <r>
    <s v="American Samoa"/>
    <s v="ASM"/>
    <s v="Upper middle income"/>
    <x v="3"/>
    <m/>
    <n v="55636"/>
    <n v="60989"/>
    <n v="157"/>
    <n v="1.1004620318530163"/>
    <n v="172.77253900092356"/>
    <n v="55.766350000000003"/>
    <n v="26977.660798500001"/>
    <n v="26977.660798500001"/>
    <n v="0.11040303634246594"/>
    <n v="4660998.9524625279"/>
    <n v="4660998.9524625279"/>
    <s v="N/A"/>
    <e v="#VALUE!"/>
    <e v="#VALUE!"/>
    <e v="#VALUE!"/>
    <e v="#VALUE!"/>
  </r>
  <r>
    <s v="Andorra"/>
    <s v="ADO"/>
    <s v="High income: nonOECD"/>
    <x v="1"/>
    <m/>
    <n v="77907"/>
    <n v="88710"/>
    <s v="N/A"/>
    <n v="1.1004620318530163"/>
    <e v="#VALUE!"/>
    <n v="100"/>
    <n v="0"/>
    <n v="0"/>
    <n v="0"/>
    <e v="#VALUE!"/>
    <n v="0"/>
    <s v="N/A"/>
    <e v="#VALUE!"/>
    <e v="#VALUE!"/>
    <e v="#VALUE!"/>
    <e v="#VALUE!"/>
  </r>
  <r>
    <s v="Angola"/>
    <s v="AGO"/>
    <s v="Upper middle income"/>
    <x v="4"/>
    <m/>
    <n v="19549124"/>
    <n v="34783312"/>
    <n v="326.89002158513563"/>
    <n v="1.1004620318530163"/>
    <n v="359.73005734605471"/>
    <n v="34.6"/>
    <n v="22748286.047999997"/>
    <n v="22748286.047999997"/>
    <n v="2.7075295212977562E-2"/>
    <n v="8183242244.5714951"/>
    <n v="8183242244.5714951"/>
    <n v="38084701465.664787"/>
    <n v="571270521984.9718"/>
    <n v="1.4324635929292302E-2"/>
    <n v="4.7748786430974336E-3"/>
    <n v="4.2973907787876908E-2"/>
  </r>
  <r>
    <s v="Antigua and Barbuda"/>
    <s v="ATG"/>
    <s v="High income: nonOECD"/>
    <x v="5"/>
    <m/>
    <n v="87233"/>
    <n v="104982"/>
    <n v="326.89002158513563"/>
    <n v="1.1004620318530163"/>
    <n v="359.73005734605471"/>
    <n v="88.229380000000006"/>
    <n v="12357.032288399998"/>
    <n v="12357.032288399998"/>
    <n v="2.7075295212977562E-2"/>
    <n v="4445195.9337331811"/>
    <n v="4445195.9337331811"/>
    <n v="0"/>
    <n v="0"/>
    <e v="#DIV/0!"/>
    <e v="#DIV/0!"/>
    <e v="#DIV/0!"/>
  </r>
  <r>
    <s v="Argentina"/>
    <s v="ARG"/>
    <s v="Upper middle income"/>
    <x v="5"/>
    <m/>
    <n v="40374224"/>
    <n v="46859381"/>
    <n v="326.89002158513563"/>
    <n v="1.1004620318530163"/>
    <n v="359.73005734605471"/>
    <n v="88.229380000000006"/>
    <n v="5515639.671862199"/>
    <n v="5515639.671862199"/>
    <n v="2.7075295212977562E-2"/>
    <n v="1984141375.4591632"/>
    <n v="1984141375.4591632"/>
    <n v="23990886710.821796"/>
    <n v="359863300662.32697"/>
    <n v="5.5135974460506498E-3"/>
    <n v="1.8378658153502165E-3"/>
    <n v="1.6540792338151949E-2"/>
  </r>
  <r>
    <s v="Armenia"/>
    <s v="ARM"/>
    <s v="Lower middle income"/>
    <x v="1"/>
    <m/>
    <n v="2963496"/>
    <n v="2969807"/>
    <s v="N/A"/>
    <n v="1.1004620318530163"/>
    <e v="#VALUE!"/>
    <n v="99.8"/>
    <n v="5939.614000000005"/>
    <n v="5939.614000000005"/>
    <n v="0"/>
    <e v="#VALUE!"/>
    <n v="0"/>
    <n v="346885961.37184739"/>
    <n v="5203289420.5777111"/>
    <e v="#VALUE!"/>
    <e v="#VALUE!"/>
    <e v="#VALUE!"/>
  </r>
  <r>
    <s v="Aruba"/>
    <s v="ABW"/>
    <s v="High income: nonOECD"/>
    <x v="5"/>
    <m/>
    <n v="101597"/>
    <n v="107734"/>
    <n v="326.89002158513563"/>
    <n v="1.1004620318530163"/>
    <n v="359.73005734605471"/>
    <n v="88.229380000000006"/>
    <n v="12680.959750799999"/>
    <n v="12680.959750799999"/>
    <n v="2.7075295212977562E-2"/>
    <n v="4561722.3783582952"/>
    <n v="4561722.3783582952"/>
    <n v="93353.484085037111"/>
    <n v="1400302.2612755566"/>
    <n v="3.2576697935222589"/>
    <n v="1.0858899311740864"/>
    <n v="9.7730093805667781"/>
  </r>
  <r>
    <s v="Australia"/>
    <s v="AUS"/>
    <s v="High income: OECD"/>
    <x v="3"/>
    <m/>
    <n v="22031800"/>
    <n v="28335501"/>
    <n v="157"/>
    <n v="1.1004620318530163"/>
    <n v="172.77253900092356"/>
    <n v="100"/>
    <n v="0"/>
    <n v="0"/>
    <n v="0.11040303634246594"/>
    <n v="0"/>
    <n v="0"/>
    <n v="111498672067.56895"/>
    <n v="1672480081013.5344"/>
    <n v="0"/>
    <n v="0"/>
    <n v="0"/>
  </r>
  <r>
    <s v="Austria"/>
    <s v="AUT"/>
    <s v="High income: OECD"/>
    <x v="1"/>
    <m/>
    <n v="8389771"/>
    <n v="9005424"/>
    <s v="N/A"/>
    <n v="1.1004620318530163"/>
    <e v="#VALUE!"/>
    <n v="100"/>
    <n v="0"/>
    <n v="0"/>
    <n v="0"/>
    <e v="#VALUE!"/>
    <n v="0"/>
    <n v="1711085863.7734871"/>
    <n v="25666287956.602306"/>
    <e v="#VALUE!"/>
    <e v="#VALUE!"/>
    <e v="#VALUE!"/>
  </r>
  <r>
    <s v="Azerbaijan"/>
    <s v="AZE"/>
    <s v="Upper middle income"/>
    <x v="1"/>
    <m/>
    <n v="9054332"/>
    <n v="10474377"/>
    <s v="N/A"/>
    <n v="1.1004620318530163"/>
    <e v="#VALUE!"/>
    <n v="100"/>
    <n v="0"/>
    <n v="0"/>
    <n v="0"/>
    <e v="#VALUE!"/>
    <n v="0"/>
    <n v="24407648660.104939"/>
    <n v="366114729901.5741"/>
    <e v="#VALUE!"/>
    <e v="#VALUE!"/>
    <e v="#VALUE!"/>
  </r>
  <r>
    <s v="Bahamas, The"/>
    <s v="BHS"/>
    <s v="High income: nonOECD"/>
    <x v="5"/>
    <m/>
    <s v="fe"/>
    <n v="447410"/>
    <n v="326.89002158513563"/>
    <n v="1.1004620318530163"/>
    <n v="359.73005734605471"/>
    <n v="88.229380000000006"/>
    <n v="52662.930941999992"/>
    <n v="52662.930941999992"/>
    <n v="2.7075295212977562E-2"/>
    <n v="18944439.167776976"/>
    <n v="18944439.167776976"/>
    <n v="2651920.615148271"/>
    <n v="39778809.227224067"/>
    <n v="0.4762445014269473"/>
    <n v="0.15874816714231577"/>
    <n v="1.428733504280842"/>
  </r>
  <r>
    <s v="Bahrain"/>
    <s v="BHR"/>
    <s v="High income: nonOECD"/>
    <x v="2"/>
    <s v="Middle East"/>
    <n v="1251513"/>
    <n v="1641988"/>
    <n v="157"/>
    <n v="1.1004620318530163"/>
    <n v="172.77253900092356"/>
    <n v="94.135270000000006"/>
    <n v="96298.162832399932"/>
    <n v="96298.162832399932"/>
    <n v="5.8613944938892791E-2"/>
    <n v="16637678.093678104"/>
    <n v="16637678.093678104"/>
    <n v="5828990079.2173672"/>
    <n v="87434851188.260513"/>
    <n v="1.9028657185971137E-4"/>
    <n v="6.3428857286570458E-5"/>
    <n v="5.7085971557913409E-4"/>
  </r>
  <r>
    <s v="Bangladesh"/>
    <s v="BGD"/>
    <s v="Low income"/>
    <x v="0"/>
    <m/>
    <n v="151125475"/>
    <n v="185063630"/>
    <n v="64"/>
    <n v="1.1004620318530163"/>
    <n v="70.429570038593042"/>
    <n v="55.2"/>
    <n v="82908506.239999995"/>
    <n v="82908506.239999995"/>
    <n v="5.8613944938892791E-2"/>
    <n v="5839210447.0252075"/>
    <n v="5839210447.0252075"/>
    <n v="5122872663.1918049"/>
    <n v="76843089947.877075"/>
    <n v="7.5988751246025679E-2"/>
    <n v="2.5329583748675225E-2"/>
    <n v="0.22796625373807705"/>
  </r>
  <r>
    <s v="Barbados"/>
    <s v="BRB"/>
    <s v="High income: nonOECD"/>
    <x v="5"/>
    <m/>
    <n v="280396"/>
    <n v="305709"/>
    <n v="326.89002158513563"/>
    <n v="1.1004620318530163"/>
    <n v="359.73005734605471"/>
    <n v="88.229380000000006"/>
    <n v="35983.844695799991"/>
    <n v="35983.844695799991"/>
    <n v="2.7075295212977562E-2"/>
    <n v="12944470.515951658"/>
    <n v="12944470.515951658"/>
    <n v="1055471.7325739102"/>
    <n v="15832075.988608653"/>
    <n v="0.81761043373372777"/>
    <n v="0.27253681124457591"/>
    <n v="2.4528313012011833"/>
  </r>
  <r>
    <s v="Belarus"/>
    <s v="BLR"/>
    <s v="Upper middle income"/>
    <x v="1"/>
    <m/>
    <n v="9490000"/>
    <n v="8488334"/>
    <s v="N/A"/>
    <n v="1.1004620318530163"/>
    <e v="#VALUE!"/>
    <n v="100"/>
    <n v="0"/>
    <n v="0"/>
    <n v="0"/>
    <e v="#VALUE!"/>
    <n v="0"/>
    <n v="1379214938.7502549"/>
    <n v="20688224081.253822"/>
    <e v="#VALUE!"/>
    <e v="#VALUE!"/>
    <e v="#VALUE!"/>
  </r>
  <r>
    <s v="Belgium"/>
    <s v="BEL"/>
    <s v="High income: OECD"/>
    <x v="1"/>
    <m/>
    <n v="10895586"/>
    <n v="11664194"/>
    <s v="N/A"/>
    <n v="1.1004620318530163"/>
    <e v="#VALUE!"/>
    <n v="100"/>
    <n v="0"/>
    <n v="0"/>
    <n v="0"/>
    <e v="#VALUE!"/>
    <n v="0"/>
    <n v="306181202.30001646"/>
    <n v="4592718034.500247"/>
    <e v="#VALUE!"/>
    <e v="#VALUE!"/>
    <e v="#VALUE!"/>
  </r>
  <r>
    <s v="Belize"/>
    <s v="BLZ"/>
    <s v="Upper middle income"/>
    <x v="5"/>
    <m/>
    <n v="308595"/>
    <n v="461277"/>
    <n v="326.89002158513563"/>
    <n v="1.1004620318530163"/>
    <n v="359.73005734605471"/>
    <n v="88.229380000000006"/>
    <n v="54295.162817399992"/>
    <n v="54295.162817399992"/>
    <n v="2.7075295212977562E-2"/>
    <n v="19531602.033916678"/>
    <n v="19531602.033916678"/>
    <n v="14107420.288951172"/>
    <n v="211611304.33426759"/>
    <n v="9.22994265139256E-2"/>
    <n v="3.0766475504641871E-2"/>
    <n v="0.27689827954177682"/>
  </r>
  <r>
    <s v="Benin"/>
    <s v="BEN"/>
    <s v="Low income"/>
    <x v="4"/>
    <m/>
    <n v="9509798"/>
    <n v="15506762"/>
    <n v="326.89002158513563"/>
    <n v="1.1004620318530163"/>
    <n v="359.73005734605471"/>
    <n v="27.9"/>
    <n v="11180375.402000001"/>
    <n v="11180375.402000001"/>
    <n v="2.7075295212977562E-2"/>
    <n v="4021917084.5118799"/>
    <n v="4021917084.5118799"/>
    <n v="358790876.29676551"/>
    <n v="5381863144.4514828"/>
    <n v="0.74730943105796721"/>
    <n v="0.24910314368598907"/>
    <n v="2.2419282931739017"/>
  </r>
  <r>
    <s v="Bermuda"/>
    <s v="BMU"/>
    <s v="High income: nonOECD"/>
    <x v="6"/>
    <m/>
    <n v="65124"/>
    <n v="66524"/>
    <s v="N/A"/>
    <n v="1.1004620318530163"/>
    <e v="#VALUE!"/>
    <n v="100"/>
    <n v="0"/>
    <n v="0"/>
    <n v="0"/>
    <e v="#VALUE!"/>
    <n v="0"/>
    <n v="0"/>
    <n v="0"/>
    <e v="#VALUE!"/>
    <e v="#VALUE!"/>
    <e v="#VALUE!"/>
  </r>
  <r>
    <s v="Bhutan"/>
    <s v="BTN"/>
    <s v="Lower middle income"/>
    <x v="0"/>
    <m/>
    <n v="716939"/>
    <n v="897761"/>
    <n v="64"/>
    <n v="1.1004620318530163"/>
    <n v="70.429570038593042"/>
    <n v="72"/>
    <n v="251373.08000000002"/>
    <n v="251373.08000000002"/>
    <n v="5.8613944938892791E-2"/>
    <n v="17704097.943676852"/>
    <n v="17704097.943676852"/>
    <n v="384755041.17597884"/>
    <n v="5771325617.6396828"/>
    <n v="3.0675964443186887E-3"/>
    <n v="1.0225321481062296E-3"/>
    <n v="9.2027893329560666E-3"/>
  </r>
  <r>
    <s v="Bolivia"/>
    <s v="BOL"/>
    <s v="Lower middle income"/>
    <x v="5"/>
    <m/>
    <n v="10156601"/>
    <n v="13665316"/>
    <n v="326.89002158513563"/>
    <n v="1.1004620318530163"/>
    <n v="359.73005734605471"/>
    <n v="80.2"/>
    <n v="2705732.5679999995"/>
    <n v="2705732.5679999995"/>
    <n v="2.7075295212977562E-2"/>
    <n v="973333331.84972763"/>
    <n v="973333331.84972763"/>
    <n v="3943593093.8863621"/>
    <n v="59153896408.295433"/>
    <n v="1.6454255610341036E-2"/>
    <n v="5.4847518701136794E-3"/>
    <n v="4.9362766831023107E-2"/>
  </r>
  <r>
    <s v="Bosnia and Herzegovina"/>
    <s v="BIH"/>
    <s v="Upper middle income"/>
    <x v="1"/>
    <m/>
    <n v="3845929"/>
    <n v="3700255"/>
    <s v="N/A"/>
    <n v="1.1004620318530163"/>
    <e v="#VALUE!"/>
    <n v="99.7"/>
    <n v="11100.76500000001"/>
    <n v="11100.76500000001"/>
    <n v="0"/>
    <e v="#VALUE!"/>
    <n v="0"/>
    <n v="595625627.44246328"/>
    <n v="8934384411.6369495"/>
    <e v="#VALUE!"/>
    <e v="#VALUE!"/>
    <e v="#VALUE!"/>
  </r>
  <r>
    <s v="Botswana"/>
    <s v="BWA"/>
    <s v="Upper middle income"/>
    <x v="4"/>
    <m/>
    <n v="1969341"/>
    <n v="2347860"/>
    <n v="326.89002158513563"/>
    <n v="1.1004620318530163"/>
    <n v="359.73005734605471"/>
    <n v="43.1"/>
    <n v="1335932.3399999999"/>
    <n v="1335932.3399999999"/>
    <n v="2.7075295212977562E-2"/>
    <n v="480575017.27864897"/>
    <n v="480575017.27864897"/>
    <n v="686157389.38852191"/>
    <n v="10292360840.827829"/>
    <n v="4.6692398829654286E-2"/>
    <n v="1.5564132943218095E-2"/>
    <n v="0.14007719648896289"/>
  </r>
  <r>
    <s v="Brazil"/>
    <s v="BRA"/>
    <s v="Upper middle income"/>
    <x v="5"/>
    <m/>
    <n v="195210154"/>
    <n v="222748294"/>
    <n v="326.89002158513563"/>
    <n v="1.1004620318530163"/>
    <n v="359.73005734605471"/>
    <n v="98.93"/>
    <n v="2383406.7457999848"/>
    <n v="2383406.7457999848"/>
    <n v="2.7075295212977562E-2"/>
    <n v="857383045.34560215"/>
    <n v="857383045.34560215"/>
    <n v="131651047125.59688"/>
    <n v="1974765706883.9531"/>
    <n v="4.341695029221946E-4"/>
    <n v="1.4472316764073154E-4"/>
    <n v="1.3025085087665837E-3"/>
  </r>
  <r>
    <s v="Brunei Darussalam"/>
    <s v="BRN"/>
    <s v="High income: nonOECD"/>
    <x v="3"/>
    <m/>
    <n v="400569"/>
    <n v="499424"/>
    <n v="157"/>
    <n v="1.1004620318530163"/>
    <n v="172.77253900092356"/>
    <n v="72.598820000000003"/>
    <n v="136848.06920319996"/>
    <n v="136848.06920319996"/>
    <n v="0.11040303634246594"/>
    <n v="23643588.373610951"/>
    <n v="23643588.373610951"/>
    <n v="5618749657.8090668"/>
    <n v="84281244867.136002"/>
    <n v="2.8053202596714792E-4"/>
    <n v="9.3510675322382641E-5"/>
    <n v="8.4159607790144388E-4"/>
  </r>
  <r>
    <s v="Bulgaria"/>
    <s v="BGR"/>
    <s v="Upper middle income"/>
    <x v="1"/>
    <m/>
    <n v="7395599"/>
    <n v="6213179"/>
    <s v="N/A"/>
    <n v="1.1004620318530163"/>
    <e v="#VALUE!"/>
    <n v="100"/>
    <n v="0"/>
    <n v="0"/>
    <n v="0"/>
    <e v="#VALUE!"/>
    <n v="0"/>
    <n v="1236205124.2998753"/>
    <n v="18543076864.498131"/>
    <e v="#VALUE!"/>
    <e v="#VALUE!"/>
    <e v="#VALUE!"/>
  </r>
  <r>
    <s v="Burkina Faso"/>
    <s v="BFA"/>
    <s v="Low income"/>
    <x v="4"/>
    <m/>
    <n v="15540284"/>
    <n v="26564341"/>
    <n v="326.89002158513563"/>
    <n v="1.1004620318530163"/>
    <n v="359.73005734605471"/>
    <n v="13.1"/>
    <n v="23084412.329"/>
    <n v="23084412.329"/>
    <n v="2.7075295212977562E-2"/>
    <n v="8304156970.9111423"/>
    <n v="8304156970.9111423"/>
    <n v="1409883719.9157445"/>
    <n v="21148255798.736168"/>
    <n v="0.39266391753249946"/>
    <n v="0.13088797251083314"/>
    <n v="1.1779917525974986"/>
  </r>
  <r>
    <s v="Burundi"/>
    <s v="BDI"/>
    <s v="Low income"/>
    <x v="4"/>
    <m/>
    <n v="9232753"/>
    <n v="16392402.999999998"/>
    <n v="326.89002158513563"/>
    <n v="1.1004620318530163"/>
    <n v="359.73005734605471"/>
    <n v="5.3"/>
    <n v="15523605.640999997"/>
    <n v="15523605.640999997"/>
    <n v="2.7075295212977562E-2"/>
    <n v="5584307547.4544668"/>
    <n v="5584307547.4544668"/>
    <n v="551752484.64932442"/>
    <n v="8276287269.7398663"/>
    <n v="0.67473582845197544"/>
    <n v="0.22491194281732518"/>
    <n v="2.0242074853559262"/>
  </r>
  <r>
    <s v="Cabo Verde"/>
    <s v="CPV"/>
    <s v="Lower middle income"/>
    <x v="4"/>
    <m/>
    <n v="487601"/>
    <n v="576734"/>
    <n v="326.89002158513563"/>
    <n v="1.1004620318530163"/>
    <n v="359.73005734605471"/>
    <n v="67"/>
    <n v="190322.21999999997"/>
    <n v="190322.21999999997"/>
    <n v="2.7075295212977562E-2"/>
    <n v="68464623.114828423"/>
    <n v="68464623.114828423"/>
    <n v="9544520.9551698435"/>
    <n v="143167814.32754764"/>
    <n v="0.4782123931723305"/>
    <n v="0.1594041310574435"/>
    <n v="1.4346371795169917"/>
  </r>
  <r>
    <s v="Cambodia"/>
    <s v="KHM"/>
    <s v="Low income"/>
    <x v="3"/>
    <m/>
    <n v="14364931"/>
    <n v="19143612"/>
    <n v="157"/>
    <n v="1.1004620318530163"/>
    <n v="172.77253900092356"/>
    <n v="31.1"/>
    <n v="13189948.668000001"/>
    <n v="13189948.668000001"/>
    <n v="0.11040303634246594"/>
    <n v="2278860920.66221"/>
    <n v="2278860920.66221"/>
    <n v="433167180.30280077"/>
    <n v="6497507704.5420113"/>
    <n v="0.35072846763524379"/>
    <n v="0.11690948921174793"/>
    <n v="1.0521854029057314"/>
  </r>
  <r>
    <s v="Cameroon"/>
    <s v="CMR"/>
    <s v="Lower middle income"/>
    <x v="4"/>
    <m/>
    <n v="20624343"/>
    <n v="33074214.999999996"/>
    <n v="326.89002158513563"/>
    <n v="1.1004620318530163"/>
    <n v="359.73005734605471"/>
    <n v="49"/>
    <n v="16867849.649999999"/>
    <n v="16867849.649999999"/>
    <n v="2.7075295212977562E-2"/>
    <n v="6067872521.899128"/>
    <n v="6067872521.899128"/>
    <n v="2416929494.6420951"/>
    <n v="36253942419.631424"/>
    <n v="0.16737138410120575"/>
    <n v="5.5790461367068583E-2"/>
    <n v="0.50211415230361722"/>
  </r>
  <r>
    <s v="Canada"/>
    <s v="CAN"/>
    <s v="High income: OECD"/>
    <x v="6"/>
    <m/>
    <n v="34005274"/>
    <n v="40616997"/>
    <s v="N/A"/>
    <n v="1.1004620318530163"/>
    <e v="#VALUE!"/>
    <n v="100"/>
    <n v="0"/>
    <n v="0"/>
    <n v="0"/>
    <e v="#VALUE!"/>
    <n v="0"/>
    <n v="66550602359.385544"/>
    <n v="998259035390.7832"/>
    <e v="#VALUE!"/>
    <e v="#VALUE!"/>
    <e v="#VALUE!"/>
  </r>
  <r>
    <s v="Cayman Islands"/>
    <s v="CYM"/>
    <s v="High income: nonOECD"/>
    <x v="5"/>
    <m/>
    <n v="55509"/>
    <n v="66552"/>
    <n v="326.89002158513563"/>
    <n v="1.1004620318530163"/>
    <n v="359.73005734605471"/>
    <n v="88.229380000000006"/>
    <n v="7833.5830223999992"/>
    <n v="7833.5830223999992"/>
    <n v="2.7075295212977562E-2"/>
    <n v="2817975.2698730323"/>
    <n v="2817975.2698730323"/>
    <s v="N/A"/>
    <e v="#VALUE!"/>
    <e v="#VALUE!"/>
    <e v="#VALUE!"/>
    <e v="#VALUE!"/>
  </r>
  <r>
    <s v="Central African Republic"/>
    <s v="CAF"/>
    <s v="Low income"/>
    <x v="4"/>
    <m/>
    <n v="4349921"/>
    <n v="6318381"/>
    <n v="326.89002158513563"/>
    <n v="1.1004620318530163"/>
    <n v="359.73005734605471"/>
    <n v="9.464245"/>
    <n v="5720393.9421265498"/>
    <n v="5720393.9421265498"/>
    <n v="2.7075295212977562E-2"/>
    <n v="2057797640.8432076"/>
    <n v="2057797640.8432076"/>
    <n v="165997754.82625589"/>
    <n v="2489966322.3938384"/>
    <n v="0.82643593302292273"/>
    <n v="0.2754786443409743"/>
    <n v="2.4793077990687684"/>
  </r>
  <r>
    <s v="Chad"/>
    <s v="TCD"/>
    <s v="Low income"/>
    <x v="4"/>
    <m/>
    <n v="11720781"/>
    <n v="20877527"/>
    <n v="326.89002158513563"/>
    <n v="1.1004620318530163"/>
    <n v="359.73005734605471"/>
    <n v="3.5"/>
    <n v="20146813.555"/>
    <n v="20146813.555"/>
    <n v="2.7075295212977562E-2"/>
    <n v="7247414395.480422"/>
    <n v="7247414395.480422"/>
    <n v="3554600897.019742"/>
    <n v="53319013455.296127"/>
    <n v="0.13592551560536317"/>
    <n v="4.5308505201787724E-2"/>
    <n v="0.40777654681608944"/>
  </r>
  <r>
    <s v="Channel Islands"/>
    <s v="CHI"/>
    <s v="High income: nonOECD"/>
    <x v="1"/>
    <m/>
    <n v="159518"/>
    <n v="173587"/>
    <s v="N/A"/>
    <n v="1.1004620318530163"/>
    <e v="#VALUE!"/>
    <n v="100"/>
    <n v="0"/>
    <n v="0"/>
    <n v="0"/>
    <e v="#VALUE!"/>
    <n v="0"/>
    <s v="N/A"/>
    <e v="#VALUE!"/>
    <e v="#VALUE!"/>
    <e v="#VALUE!"/>
    <e v="#VALUE!"/>
  </r>
  <r>
    <s v="Chile"/>
    <s v="CHL"/>
    <s v="High income: OECD"/>
    <x v="5"/>
    <m/>
    <n v="17150760"/>
    <n v="19814578"/>
    <n v="326.89002158513563"/>
    <n v="1.1004620318530163"/>
    <n v="359.73005734605471"/>
    <n v="99.59"/>
    <n v="81239.769799999849"/>
    <n v="81239.769799999849"/>
    <n v="2.7075295212977562E-2"/>
    <n v="29224387.048934229"/>
    <n v="29224387.048934229"/>
    <n v="42609019124.162964"/>
    <n v="639135286862.44446"/>
    <n v="4.5724884307982104E-5"/>
    <n v="1.5241628102660701E-5"/>
    <n v="1.3717465292394633E-4"/>
  </r>
  <r>
    <s v="China"/>
    <s v="CHN"/>
    <s v="Upper middle income"/>
    <x v="3"/>
    <m/>
    <n v="1337705000"/>
    <n v="1453297304"/>
    <n v="157"/>
    <n v="1.1004620318530163"/>
    <n v="172.77253900092356"/>
    <n v="99.7"/>
    <n v="4359891.9120000042"/>
    <n v="4359891.9120000042"/>
    <n v="0.11040303634246594"/>
    <n v="753269595.40583193"/>
    <n v="753269595.40583193"/>
    <n v="412412144329.84637"/>
    <n v="6186182164947.6953"/>
    <n v="1.2176647491469416E-4"/>
    <n v="4.058882497156472E-5"/>
    <n v="3.6529942474408249E-4"/>
  </r>
  <r>
    <s v="Colombia"/>
    <s v="COL"/>
    <s v="Upper middle income"/>
    <x v="5"/>
    <m/>
    <n v="46444798"/>
    <n v="57219408"/>
    <n v="326.89002158513563"/>
    <n v="1.1004620318530163"/>
    <n v="359.73005734605471"/>
    <n v="96.79"/>
    <n v="1836742.9967999947"/>
    <n v="1836742.9967999947"/>
    <n v="2.7075295212977562E-2"/>
    <n v="660731663.56882644"/>
    <n v="660731663.56882644"/>
    <n v="27613795592.874363"/>
    <n v="414206933893.11542"/>
    <n v="1.595172870136756E-3"/>
    <n v="5.3172429004558533E-4"/>
    <n v="4.7855186104102674E-3"/>
  </r>
  <r>
    <s v="Comoros"/>
    <s v="COM"/>
    <s v="Low income"/>
    <x v="4"/>
    <m/>
    <n v="683081"/>
    <n v="1057197"/>
    <n v="326.89002158513563"/>
    <n v="1.1004620318530163"/>
    <n v="359.73005734605471"/>
    <n v="48.344149999999999"/>
    <n v="546104.09652450006"/>
    <n v="546104.09652450006"/>
    <n v="2.7075295212977562E-2"/>
    <n v="196450057.95967379"/>
    <n v="196450057.95967379"/>
    <n v="15685686.317566991"/>
    <n v="235285294.76350486"/>
    <n v="0.8349440544388208"/>
    <n v="0.27831468481294025"/>
    <n v="2.5048321633164625"/>
  </r>
  <r>
    <s v="Congo, Dem. Rep."/>
    <s v="ZAR"/>
    <s v="Low income"/>
    <x v="4"/>
    <m/>
    <n v="62191161"/>
    <n v="103743184"/>
    <n v="326.89002158513563"/>
    <n v="1.1004620318530163"/>
    <n v="359.73005734605471"/>
    <n v="15.2"/>
    <n v="87974220.03199999"/>
    <n v="87974220.03199999"/>
    <n v="2.7075295212977562E-2"/>
    <n v="31646971217.085793"/>
    <n v="31646971217.085793"/>
    <n v="7681552331.5239582"/>
    <n v="115223284972.85937"/>
    <n v="0.27465777619983822"/>
    <n v="9.1552592066612745E-2"/>
    <n v="0.82397332859951478"/>
  </r>
  <r>
    <s v="Congo, Rep."/>
    <s v="COG"/>
    <s v="Lower middle income"/>
    <x v="4"/>
    <m/>
    <n v="4111715"/>
    <n v="6753771"/>
    <n v="326.89002158513563"/>
    <n v="1.1004620318530163"/>
    <n v="359.73005734605471"/>
    <n v="37.1"/>
    <n v="4248121.9589999998"/>
    <n v="4248121.9589999998"/>
    <n v="2.7075295212977562E-2"/>
    <n v="1528177155.9241042"/>
    <n v="1528177155.9241042"/>
    <n v="7999753757.4398327"/>
    <n v="119996306361.59749"/>
    <n v="1.2735201626282456E-2"/>
    <n v="4.2450672087608185E-3"/>
    <n v="3.8205604878847367E-2"/>
  </r>
  <r>
    <s v="Costa Rica"/>
    <s v="CRI"/>
    <s v="Upper middle income"/>
    <x v="5"/>
    <m/>
    <n v="4669685"/>
    <n v="5759573"/>
    <n v="326.89002158513563"/>
    <n v="1.1004620318530163"/>
    <n v="359.73005734605471"/>
    <n v="99"/>
    <n v="57595.730000000054"/>
    <n v="57595.730000000054"/>
    <n v="2.7075295212977562E-2"/>
    <n v="20718915.255787902"/>
    <n v="20718915.255787902"/>
    <n v="447691904.68022686"/>
    <n v="6715378570.2034025"/>
    <n v="3.0852937089383397E-3"/>
    <n v="1.0284312363127801E-3"/>
    <n v="9.2558811268150191E-3"/>
  </r>
  <r>
    <s v="Cote d'Ivoire"/>
    <s v="CIV"/>
    <s v="Lower middle income"/>
    <x v="4"/>
    <m/>
    <n v="18976588"/>
    <n v="29227188"/>
    <n v="326.89002158513563"/>
    <n v="1.1004620318530163"/>
    <n v="359.73005734605471"/>
    <n v="58.9"/>
    <n v="12012374.268000001"/>
    <n v="12012374.268000001"/>
    <n v="2.7075295212977562E-2"/>
    <n v="4321212084.2899122"/>
    <n v="4321212084.2899122"/>
    <n v="1791544935.1129889"/>
    <n v="26873174026.694836"/>
    <n v="0.16080021213710657"/>
    <n v="5.3600070712368865E-2"/>
    <n v="0.48240063641131969"/>
  </r>
  <r>
    <s v="Croatia"/>
    <s v="HRV"/>
    <s v="High income: nonOECD"/>
    <x v="1"/>
    <m/>
    <n v="4417800"/>
    <n v="4015138"/>
    <s v="N/A"/>
    <n v="1.1004620318530163"/>
    <e v="#VALUE!"/>
    <n v="100"/>
    <n v="0"/>
    <n v="0"/>
    <n v="0"/>
    <e v="#VALUE!"/>
    <n v="0"/>
    <n v="918544973.75403845"/>
    <n v="13778174606.310577"/>
    <e v="#VALUE!"/>
    <e v="#VALUE!"/>
    <e v="#VALUE!"/>
  </r>
  <r>
    <s v="Cuba"/>
    <s v="CUB"/>
    <s v="Upper middle income"/>
    <x v="5"/>
    <m/>
    <n v="11281768"/>
    <n v="10847333"/>
    <n v="326.89002158513563"/>
    <n v="1.1004620318530163"/>
    <n v="359.73005734605471"/>
    <n v="100"/>
    <n v="0"/>
    <n v="0"/>
    <n v="2.7075295212977562E-2"/>
    <n v="0"/>
    <n v="0"/>
    <n v="3082852547.1150317"/>
    <n v="46242788206.725479"/>
    <n v="0"/>
    <n v="0"/>
    <n v="0"/>
  </r>
  <r>
    <s v="Curacao"/>
    <s v="CUW"/>
    <s v="High income: nonOECD"/>
    <x v="5"/>
    <m/>
    <n v="149311"/>
    <n v="178776"/>
    <n v="326.89002158513563"/>
    <n v="1.1004620318530163"/>
    <n v="359.73005734605471"/>
    <n v="88.229380000000006"/>
    <n v="21043.043611199995"/>
    <n v="21043.043611199995"/>
    <n v="2.7075295212977562E-2"/>
    <n v="7569815.2849925049"/>
    <n v="7569815.2849925049"/>
    <s v="N/A"/>
    <e v="#VALUE!"/>
    <e v="#VALUE!"/>
    <e v="#VALUE!"/>
    <e v="#VALUE!"/>
  </r>
  <r>
    <s v="Cyprus"/>
    <s v="CYP"/>
    <s v="High income: nonOECD"/>
    <x v="1"/>
    <m/>
    <n v="1103685"/>
    <n v="1306312"/>
    <s v="N/A"/>
    <n v="1.1004620318530163"/>
    <e v="#VALUE!"/>
    <n v="100"/>
    <n v="0"/>
    <n v="0"/>
    <n v="0"/>
    <e v="#VALUE!"/>
    <n v="0"/>
    <n v="2097439.0563930012"/>
    <n v="31461585.845895018"/>
    <e v="#VALUE!"/>
    <e v="#VALUE!"/>
    <e v="#VALUE!"/>
  </r>
  <r>
    <s v="Czech Republic"/>
    <s v="CZE"/>
    <s v="High income: OECD"/>
    <x v="1"/>
    <m/>
    <n v="10474410"/>
    <n v="11053125"/>
    <s v="N/A"/>
    <n v="1.1004620318530163"/>
    <e v="#VALUE!"/>
    <n v="100"/>
    <n v="0"/>
    <n v="0"/>
    <n v="0"/>
    <e v="#VALUE!"/>
    <n v="0"/>
    <n v="1366868039.2637777"/>
    <n v="20503020588.956665"/>
    <e v="#VALUE!"/>
    <e v="#VALUE!"/>
    <e v="#VALUE!"/>
  </r>
  <r>
    <s v="Denmark"/>
    <s v="DNK"/>
    <s v="High income: OECD"/>
    <x v="1"/>
    <m/>
    <n v="5547683"/>
    <n v="6009458"/>
    <s v="N/A"/>
    <n v="1.1004620318530163"/>
    <e v="#VALUE!"/>
    <n v="100"/>
    <n v="0"/>
    <n v="0"/>
    <n v="0"/>
    <e v="#VALUE!"/>
    <n v="0"/>
    <n v="6826937316.8512735"/>
    <n v="102404059752.7691"/>
    <e v="#VALUE!"/>
    <e v="#VALUE!"/>
    <e v="#VALUE!"/>
  </r>
  <r>
    <s v="Djibouti"/>
    <s v="DJI"/>
    <s v="Lower middle income"/>
    <x v="2"/>
    <s v="North Africa"/>
    <n v="834036"/>
    <n v="1075146"/>
    <n v="326.89002158513563"/>
    <n v="1.1004620318530163"/>
    <n v="359.73005734605471"/>
    <n v="49.7"/>
    <n v="540798.43799999985"/>
    <n v="540798.43799999985"/>
    <n v="2.7075295212977562E-2"/>
    <n v="194541453.11439675"/>
    <n v="194541453.11439675"/>
    <s v="N/A"/>
    <e v="#VALUE!"/>
    <e v="#VALUE!"/>
    <e v="#VALUE!"/>
    <e v="#VALUE!"/>
  </r>
  <r>
    <s v="Dominica"/>
    <s v="DMA"/>
    <s v="Upper middle income"/>
    <x v="5"/>
    <m/>
    <n v="71167"/>
    <n v="76952"/>
    <n v="326.89002158513563"/>
    <n v="1.1004620318530163"/>
    <n v="359.73005734605471"/>
    <n v="91.244150000000005"/>
    <n v="6737.8016919999991"/>
    <n v="6737.8016919999991"/>
    <n v="2.7075295212977562E-2"/>
    <n v="2423789.7890495043"/>
    <n v="2423789.7890495043"/>
    <n v="491062.11491866165"/>
    <n v="7365931.7237799251"/>
    <n v="0.32905406674143112"/>
    <n v="0.10968468891381038"/>
    <n v="0.98716220022429335"/>
  </r>
  <r>
    <s v="Dominican Republic"/>
    <s v="DOM"/>
    <s v="Upper middle income"/>
    <x v="5"/>
    <m/>
    <n v="10016797"/>
    <n v="12218615"/>
    <n v="326.89002158513563"/>
    <n v="1.1004620318530163"/>
    <n v="359.73005734605471"/>
    <n v="98.15"/>
    <n v="226044.37749999954"/>
    <n v="226044.37749999954"/>
    <n v="2.7075295212977562E-2"/>
    <n v="81314956.880828068"/>
    <n v="81314956.880828068"/>
    <n v="129924258.050329"/>
    <n v="1948863870.754935"/>
    <n v="4.1724287725303739E-2"/>
    <n v="1.390809590843458E-2"/>
    <n v="0.1251728631759112"/>
  </r>
  <r>
    <s v="Ecuador"/>
    <s v="ECU"/>
    <s v="Upper middle income"/>
    <x v="5"/>
    <m/>
    <n v="15001072"/>
    <n v="19648546"/>
    <n v="326.89002158513563"/>
    <n v="1.1004620318530163"/>
    <n v="359.73005734605471"/>
    <n v="97.46"/>
    <n v="499073.06840000174"/>
    <n v="499073.06840000174"/>
    <n v="2.7075295212977562E-2"/>
    <n v="179531583.51540411"/>
    <n v="179531583.51540411"/>
    <n v="12579420182.430964"/>
    <n v="188691302736.46445"/>
    <n v="9.5145659027086554E-4"/>
    <n v="3.171521967569552E-4"/>
    <n v="2.8543697708125967E-3"/>
  </r>
  <r>
    <s v="Egypt, Arab Rep."/>
    <s v="EGY"/>
    <s v="Lower middle income"/>
    <x v="2"/>
    <s v="North Africa"/>
    <n v="78075705"/>
    <n v="102552797"/>
    <n v="157"/>
    <n v="1.1004620318530163"/>
    <n v="172.77253900092356"/>
    <n v="99.6"/>
    <n v="410211.18800000037"/>
    <n v="410211.18800000037"/>
    <n v="0.11040303634246594"/>
    <n v="70873228.477345243"/>
    <n v="70873228.477345243"/>
    <n v="26385352958.727764"/>
    <n v="395780294380.91644"/>
    <n v="1.7907215059356573E-4"/>
    <n v="5.9690716864521912E-5"/>
    <n v="5.3721645178069724E-4"/>
  </r>
  <r>
    <s v="El Salvador"/>
    <s v="SLV"/>
    <s v="Lower middle income"/>
    <x v="5"/>
    <m/>
    <n v="6218195"/>
    <n v="6874758"/>
    <n v="326.89002158513563"/>
    <n v="1.1004620318530163"/>
    <n v="359.73005734605471"/>
    <n v="92.03"/>
    <n v="547918.21259999997"/>
    <n v="547918.21259999997"/>
    <n v="2.7075295212977562E-2"/>
    <n v="197102650.03954577"/>
    <n v="197102650.03954577"/>
    <n v="390192552.90387428"/>
    <n v="5852888293.5581141"/>
    <n v="3.3676133928010138E-2"/>
    <n v="1.1225377976003379E-2"/>
    <n v="0.10102840178403041"/>
  </r>
  <r>
    <s v="Equatorial Guinea"/>
    <s v="GNQ"/>
    <s v="High income: nonOECD"/>
    <x v="4"/>
    <m/>
    <n v="696167"/>
    <n v="1138788"/>
    <n v="326.89002158513563"/>
    <n v="1.1004620318530163"/>
    <n v="359.73005734605471"/>
    <n v="29.145389999999999"/>
    <n v="806883.79612680001"/>
    <n v="806883.79612680001"/>
    <n v="2.7075295212977562E-2"/>
    <n v="290260354.25229609"/>
    <n v="290260354.25229609"/>
    <n v="6226958917.0209513"/>
    <n v="93404383755.31427"/>
    <n v="3.1075667177749744E-3"/>
    <n v="1.0358555725916581E-3"/>
    <n v="9.3227001533249219E-3"/>
  </r>
  <r>
    <s v="Eritrea"/>
    <s v="ERI"/>
    <s v="Low income"/>
    <x v="4"/>
    <m/>
    <n v="5741159"/>
    <n v="9782455"/>
    <n v="326.89002158513563"/>
    <n v="1.1004620318530163"/>
    <n v="359.73005734605471"/>
    <n v="32.514240000000001"/>
    <n v="6601764.1034079995"/>
    <n v="6601764.1034079995"/>
    <n v="2.7075295212977562E-2"/>
    <n v="2374852979.5040851"/>
    <n v="2374852979.5040851"/>
    <n v="76822965.242555067"/>
    <n v="1152344478.6383259"/>
    <n v="2.0608880621447008"/>
    <n v="0.68696268738156685"/>
    <n v="6.1826641864341019"/>
  </r>
  <r>
    <s v="Estonia"/>
    <s v="EST"/>
    <s v="High income: OECD"/>
    <x v="1"/>
    <m/>
    <n v="1336887"/>
    <n v="1212150"/>
    <s v="N/A"/>
    <n v="1.1004620318530163"/>
    <e v="#VALUE!"/>
    <n v="100"/>
    <n v="0"/>
    <n v="0"/>
    <n v="0"/>
    <e v="#VALUE!"/>
    <n v="0"/>
    <n v="524357312.05145437"/>
    <n v="7865359680.7718153"/>
    <e v="#VALUE!"/>
    <e v="#VALUE!"/>
    <e v="#VALUE!"/>
  </r>
  <r>
    <s v="Ethiopia"/>
    <s v="ETH"/>
    <s v="Low income"/>
    <x v="4"/>
    <m/>
    <n v="87095281"/>
    <n v="137669707"/>
    <n v="326.89002158513563"/>
    <n v="1.1004620318530163"/>
    <n v="359.73005734605471"/>
    <n v="23"/>
    <n v="106005674.39"/>
    <n v="106005674.39"/>
    <n v="2.7075295212977562E-2"/>
    <n v="38133427327.321899"/>
    <n v="38133427327.321899"/>
    <n v="5463318403.1045046"/>
    <n v="81949776046.567566"/>
    <n v="0.46532680340276661"/>
    <n v="0.15510893446758889"/>
    <n v="1.3959804102082998"/>
  </r>
  <r>
    <s v="Faeroe Islands"/>
    <s v="FRO"/>
    <s v="High income: nonOECD"/>
    <x v="1"/>
    <m/>
    <n v="49581"/>
    <n v="51875"/>
    <s v="N/A"/>
    <n v="1.1004620318530163"/>
    <e v="#VALUE!"/>
    <n v="100"/>
    <n v="0"/>
    <n v="0"/>
    <n v="0"/>
    <e v="#VALUE!"/>
    <n v="0"/>
    <s v="N/A"/>
    <e v="#VALUE!"/>
    <e v="#VALUE!"/>
    <e v="#VALUE!"/>
    <e v="#VALUE!"/>
  </r>
  <r>
    <s v="Fiji"/>
    <s v="FJI"/>
    <s v="Upper middle income"/>
    <x v="3"/>
    <m/>
    <n v="860559"/>
    <n v="939469"/>
    <n v="157"/>
    <n v="1.1004620318530163"/>
    <n v="172.77253900092356"/>
    <n v="55.766350000000003"/>
    <n v="415561.42931850004"/>
    <n v="415561.42931850004"/>
    <n v="0.11040303634246594"/>
    <n v="71797603.254210085"/>
    <n v="71797603.254210085"/>
    <n v="87317583.851148248"/>
    <n v="1309763757.7672238"/>
    <n v="5.4817216332664953E-2"/>
    <n v="1.8272405444221651E-2"/>
    <n v="0.16445164899799486"/>
  </r>
  <r>
    <s v="Finland"/>
    <s v="FIN"/>
    <s v="High income: OECD"/>
    <x v="1"/>
    <m/>
    <n v="5363352"/>
    <n v="5649744"/>
    <s v="N/A"/>
    <n v="1.1004620318530163"/>
    <e v="#VALUE!"/>
    <n v="100"/>
    <n v="0"/>
    <n v="0"/>
    <n v="0"/>
    <e v="#VALUE!"/>
    <n v="0"/>
    <n v="3328745232.5822215"/>
    <n v="49931178488.733322"/>
    <e v="#VALUE!"/>
    <e v="#VALUE!"/>
    <e v="#VALUE!"/>
  </r>
  <r>
    <s v="France"/>
    <s v="FRA"/>
    <s v="High income: OECD"/>
    <x v="1"/>
    <m/>
    <n v="65031235"/>
    <n v="69286370"/>
    <s v="N/A"/>
    <n v="1.1004620318530163"/>
    <e v="#VALUE!"/>
    <n v="100"/>
    <n v="0"/>
    <n v="0"/>
    <n v="0"/>
    <e v="#VALUE!"/>
    <n v="0"/>
    <n v="4406730484.3344297"/>
    <n v="66100957265.016449"/>
    <e v="#VALUE!"/>
    <e v="#VALUE!"/>
    <e v="#VALUE!"/>
  </r>
  <r>
    <s v="French Polynesia"/>
    <s v="PYF"/>
    <s v="High income: nonOECD"/>
    <x v="3"/>
    <m/>
    <n v="268065"/>
    <n v="318041"/>
    <n v="157"/>
    <n v="1.1004620318530163"/>
    <n v="172.77253900092356"/>
    <n v="55.766350000000003"/>
    <n v="140681.1427965"/>
    <n v="140681.1427965"/>
    <n v="0.11040303634246594"/>
    <n v="24305838.230502792"/>
    <n v="24305838.230502792"/>
    <s v="N/A"/>
    <e v="#VALUE!"/>
    <e v="#VALUE!"/>
    <e v="#VALUE!"/>
    <e v="#VALUE!"/>
  </r>
  <r>
    <s v="Gabon"/>
    <s v="GAB"/>
    <s v="Upper middle income"/>
    <x v="4"/>
    <m/>
    <n v="1556222"/>
    <n v="2382369"/>
    <n v="326.89002158513563"/>
    <n v="1.1004620318530163"/>
    <n v="359.73005734605471"/>
    <n v="81.599999999999994"/>
    <n v="438355.89600000012"/>
    <n v="438355.89600000012"/>
    <n v="2.7075295212977562E-2"/>
    <n v="157689791.60606125"/>
    <n v="157689791.60606125"/>
    <n v="6654882999.5966587"/>
    <n v="99823244993.949875"/>
    <n v="1.5796900973878236E-3"/>
    <n v="5.2656336579594125E-4"/>
    <n v="4.7390702921634711E-3"/>
  </r>
  <r>
    <s v="Gambia, The"/>
    <s v="GMB"/>
    <s v="Low income"/>
    <x v="4"/>
    <m/>
    <n v="1680640"/>
    <n v="3056357"/>
    <n v="326.89002158513563"/>
    <n v="1.1004620318530163"/>
    <n v="359.73005734605471"/>
    <n v="30.96424"/>
    <n v="2109979.2832632"/>
    <n v="2109979.2832632"/>
    <n v="2.7075295212977562E-2"/>
    <n v="759022968.56725836"/>
    <n v="759022968.56725836"/>
    <n v="45972784.152787477"/>
    <n v="689591762.29181218"/>
    <n v="1.1006845065038136"/>
    <n v="0.36689483550127117"/>
    <n v="3.3020535195114404"/>
  </r>
  <r>
    <s v="Georgia"/>
    <s v="GEO"/>
    <s v="Lower middle income"/>
    <x v="1"/>
    <m/>
    <n v="4452800"/>
    <n v="3953077"/>
    <s v="N/A"/>
    <n v="1.1004620318530163"/>
    <e v="#VALUE!"/>
    <n v="100"/>
    <n v="0"/>
    <n v="0"/>
    <n v="0"/>
    <e v="#VALUE!"/>
    <n v="0"/>
    <n v="123856542.27513833"/>
    <n v="1857848134.127075"/>
    <e v="#VALUE!"/>
    <e v="#VALUE!"/>
    <e v="#VALUE!"/>
  </r>
  <r>
    <s v="Germany"/>
    <s v="DEU"/>
    <s v="High income: OECD"/>
    <x v="1"/>
    <m/>
    <n v="81776930"/>
    <n v="79551501"/>
    <s v="N/A"/>
    <n v="1.1004620318530163"/>
    <e v="#VALUE!"/>
    <n v="100"/>
    <n v="0"/>
    <n v="0"/>
    <n v="0"/>
    <e v="#VALUE!"/>
    <n v="0"/>
    <n v="6763891296.0023947"/>
    <n v="101458369440.03592"/>
    <e v="#VALUE!"/>
    <e v="#VALUE!"/>
    <e v="#VALUE!"/>
  </r>
  <r>
    <s v="Ghana"/>
    <s v="GHA"/>
    <s v="Lower middle income"/>
    <x v="4"/>
    <m/>
    <n v="24262901"/>
    <n v="35264291"/>
    <n v="326.89002158513563"/>
    <n v="1.1004620318530163"/>
    <n v="359.73005734605471"/>
    <n v="60.5"/>
    <n v="13929394.945"/>
    <n v="13929394.945"/>
    <n v="2.7075295212977562E-2"/>
    <n v="5010822042.3606949"/>
    <n v="5010822042.3606949"/>
    <n v="4194607406.4218354"/>
    <n v="62919111096.32753"/>
    <n v="7.9639110519048123E-2"/>
    <n v="2.6546370173016035E-2"/>
    <n v="0.23891733155714434"/>
  </r>
  <r>
    <s v="Greece"/>
    <s v="GRC"/>
    <s v="High income: OECD"/>
    <x v="1"/>
    <m/>
    <n v="11307502"/>
    <n v="10975530"/>
    <s v="N/A"/>
    <n v="1.1004620318530163"/>
    <e v="#VALUE!"/>
    <n v="100"/>
    <n v="0"/>
    <n v="0"/>
    <n v="0"/>
    <e v="#VALUE!"/>
    <n v="0"/>
    <n v="629296452.81922984"/>
    <n v="9439446792.2884483"/>
    <e v="#VALUE!"/>
    <e v="#VALUE!"/>
    <e v="#VALUE!"/>
  </r>
  <r>
    <s v="Greenland"/>
    <s v="GRL"/>
    <s v="High income: nonOECD"/>
    <x v="1"/>
    <m/>
    <n v="56905"/>
    <n v="54649"/>
    <s v="N/A"/>
    <n v="1.1004620318530163"/>
    <e v="#VALUE!"/>
    <n v="100"/>
    <n v="0"/>
    <n v="0"/>
    <n v="0"/>
    <e v="#VALUE!"/>
    <n v="0"/>
    <s v="N/A"/>
    <e v="#VALUE!"/>
    <e v="#VALUE!"/>
    <e v="#VALUE!"/>
    <e v="#VALUE!"/>
  </r>
  <r>
    <s v="Grenada"/>
    <s v="GRD"/>
    <s v="Upper middle income"/>
    <x v="5"/>
    <m/>
    <n v="104677"/>
    <n v="107433"/>
    <n v="326.89002158513563"/>
    <n v="1.1004620318530163"/>
    <n v="359.73005734605471"/>
    <n v="88.229380000000006"/>
    <n v="12645.530184599998"/>
    <n v="12645.530184599998"/>
    <n v="2.7075295212977562E-2"/>
    <n v="4548977.2984774234"/>
    <n v="4548977.2984774234"/>
    <n v="0"/>
    <n v="0"/>
    <e v="#DIV/0!"/>
    <e v="#DIV/0!"/>
    <e v="#DIV/0!"/>
  </r>
  <r>
    <s v="Guam"/>
    <s v="GUM"/>
    <s v="High income: nonOECD"/>
    <x v="3"/>
    <m/>
    <n v="159440"/>
    <n v="200008"/>
    <n v="157"/>
    <n v="1.1004620318530163"/>
    <n v="172.77253900092356"/>
    <n v="55.766350000000003"/>
    <n v="88470.838692000005"/>
    <n v="88470.838692000005"/>
    <n v="0.11040303634246594"/>
    <n v="15285331.428357989"/>
    <n v="15285331.428357989"/>
    <s v="N/A"/>
    <e v="#VALUE!"/>
    <e v="#VALUE!"/>
    <e v="#VALUE!"/>
    <e v="#VALUE!"/>
  </r>
  <r>
    <s v="Guatemala"/>
    <s v="GTM"/>
    <s v="Lower middle income"/>
    <x v="5"/>
    <m/>
    <n v="14341576"/>
    <n v="22566243"/>
    <n v="326.89002158513563"/>
    <n v="1.1004620318530163"/>
    <n v="359.73005734605471"/>
    <n v="81.78"/>
    <n v="4111569.4746000008"/>
    <n v="4111569.4746000008"/>
    <n v="2.7075295212977562E-2"/>
    <n v="1479055122.8801463"/>
    <n v="1479055122.8801463"/>
    <n v="1835017152.9300125"/>
    <n v="27525257293.950188"/>
    <n v="5.3734470384232513E-2"/>
    <n v="1.7911490128077506E-2"/>
    <n v="0.16120341115269754"/>
  </r>
  <r>
    <s v="Guinea"/>
    <s v="GIN"/>
    <s v="Low income"/>
    <x v="4"/>
    <m/>
    <n v="10876033"/>
    <n v="17322136"/>
    <n v="326.89002158513563"/>
    <n v="1.1004620318530163"/>
    <n v="359.73005734605471"/>
    <n v="20.2"/>
    <n v="13823064.528000001"/>
    <n v="13823064.528000001"/>
    <n v="2.7075295212977562E-2"/>
    <n v="4972571795.3556547"/>
    <n v="4972571795.3556547"/>
    <n v="1333953226.6564479"/>
    <n v="20009298399.846718"/>
    <n v="0.24851305108197833"/>
    <n v="8.2837683693992775E-2"/>
    <n v="0.745539153245935"/>
  </r>
  <r>
    <s v="Guinea-Bissau"/>
    <s v="GNB"/>
    <s v="Low income"/>
    <x v="4"/>
    <m/>
    <n v="1586624"/>
    <n v="2472642"/>
    <n v="326.89002158513563"/>
    <n v="1.1004620318530163"/>
    <n v="359.73005734605471"/>
    <n v="57.044159999999998"/>
    <n v="1062144.1412928"/>
    <n v="1062144.1412928"/>
    <n v="2.7075295212977562E-2"/>
    <n v="382085172.85703498"/>
    <n v="382085172.85703498"/>
    <n v="142038641.37615088"/>
    <n v="2130579620.6422632"/>
    <n v="0.17933390949353745"/>
    <n v="5.9777969831179154E-2"/>
    <n v="0.53800172848061234"/>
  </r>
  <r>
    <s v="Guyana"/>
    <s v="GUY"/>
    <s v="Lower middle income"/>
    <x v="5"/>
    <m/>
    <n v="786126"/>
    <n v="852670"/>
    <n v="326.89002158513563"/>
    <n v="1.1004620318530163"/>
    <n v="359.73005734605471"/>
    <n v="77.599999999999994"/>
    <n v="190998.08000000007"/>
    <n v="190998.08000000007"/>
    <n v="2.7075295212977562E-2"/>
    <n v="68707750.27138637"/>
    <n v="68707750.27138637"/>
    <n v="405082963.00590253"/>
    <n v="6076244445.0885382"/>
    <n v="1.1307601412731712E-2"/>
    <n v="3.7692004709105708E-3"/>
    <n v="3.3922804238195131E-2"/>
  </r>
  <r>
    <s v="Haiti"/>
    <s v="HTI"/>
    <s v="Low income"/>
    <x v="5"/>
    <m/>
    <n v="9896400"/>
    <n v="12536811"/>
    <n v="326.89002158513563"/>
    <n v="1.1004620318530163"/>
    <n v="359.73005734605471"/>
    <n v="33.9"/>
    <n v="8286832.0710000005"/>
    <n v="8286832.0710000005"/>
    <n v="2.7075295212977562E-2"/>
    <n v="2981022576.1179557"/>
    <n v="2981022576.1179557"/>
    <n v="161012362.10944861"/>
    <n v="2415185431.6417294"/>
    <n v="1.2342831059938932"/>
    <n v="0.41142770199796447"/>
    <n v="3.7028493179816797"/>
  </r>
  <r>
    <s v="Honduras"/>
    <s v="HND"/>
    <s v="Lower middle income"/>
    <x v="5"/>
    <m/>
    <n v="7621204"/>
    <n v="10811004"/>
    <n v="326.89002158513563"/>
    <n v="1.1004620318530163"/>
    <n v="359.73005734605471"/>
    <n v="80.98"/>
    <n v="2056252.9607999991"/>
    <n v="2056252.9607999991"/>
    <n v="2.7075295212977562E-2"/>
    <n v="739695995.50657845"/>
    <n v="739695995.50657845"/>
    <n v="717924436.29793561"/>
    <n v="10768866544.469034"/>
    <n v="6.8688379826425797E-2"/>
    <n v="2.2896126608808597E-2"/>
    <n v="0.20606513947927738"/>
  </r>
  <r>
    <s v="Hong Kong SAR, China"/>
    <s v="HKG"/>
    <s v="High income: nonOECD"/>
    <x v="3"/>
    <m/>
    <n v="7024200"/>
    <n v="7885155"/>
    <n v="157"/>
    <n v="1.1004620318530163"/>
    <n v="172.77253900092356"/>
    <n v="100"/>
    <n v="0"/>
    <n v="0"/>
    <n v="0.11040303634246594"/>
    <n v="0"/>
    <n v="0"/>
    <n v="3134453.5797919827"/>
    <n v="47016803.696879737"/>
    <n v="0"/>
    <n v="0"/>
    <n v="0"/>
  </r>
  <r>
    <s v="Hungary"/>
    <s v="HUN"/>
    <s v="Upper middle income"/>
    <x v="1"/>
    <m/>
    <n v="10000023"/>
    <n v="9525243"/>
    <s v="N/A"/>
    <n v="1.1004620318530163"/>
    <e v="#VALUE!"/>
    <n v="100"/>
    <n v="0"/>
    <n v="0"/>
    <n v="0"/>
    <e v="#VALUE!"/>
    <n v="0"/>
    <n v="1095685098.3472166"/>
    <n v="16435276475.208248"/>
    <e v="#VALUE!"/>
    <e v="#VALUE!"/>
    <e v="#VALUE!"/>
  </r>
  <r>
    <s v="Iceland"/>
    <s v="ISL"/>
    <s v="High income: OECD"/>
    <x v="1"/>
    <m/>
    <n v="318041"/>
    <n v="383558"/>
    <s v="N/A"/>
    <n v="1.1004620318530163"/>
    <e v="#VALUE!"/>
    <n v="100"/>
    <n v="0"/>
    <n v="0"/>
    <n v="0"/>
    <e v="#VALUE!"/>
    <n v="0"/>
    <n v="0"/>
    <n v="0"/>
    <e v="#VALUE!"/>
    <e v="#VALUE!"/>
    <e v="#VALUE!"/>
  </r>
  <r>
    <s v="India"/>
    <s v="IND"/>
    <s v="Lower middle income"/>
    <x v="0"/>
    <m/>
    <n v="1205624648"/>
    <n v="1476377903"/>
    <n v="64"/>
    <n v="1.1004620318530163"/>
    <n v="70.429570038593042"/>
    <n v="75"/>
    <n v="369094475.75"/>
    <n v="369094475.75"/>
    <n v="5.8613944938892791E-2"/>
    <n v="25995165230.692406"/>
    <n v="25995165230.692406"/>
    <n v="106120979971.95012"/>
    <n v="1591814699579.2517"/>
    <n v="1.6330522162889591E-2"/>
    <n v="5.4435073876298642E-3"/>
    <n v="4.8991566488668765E-2"/>
  </r>
  <r>
    <s v="Indonesia"/>
    <s v="IDN"/>
    <s v="Lower middle income"/>
    <x v="3"/>
    <m/>
    <n v="240676485"/>
    <n v="293482460"/>
    <n v="157"/>
    <n v="1.1004620318530163"/>
    <n v="172.77253900092356"/>
    <n v="94.15"/>
    <n v="17168723.91"/>
    <n v="17168723.91"/>
    <n v="0.11040303634246594"/>
    <n v="2966284021.3365641"/>
    <n v="2966284021.3365641"/>
    <n v="59899197819.567902"/>
    <n v="898487967293.51855"/>
    <n v="3.301417636422878E-3"/>
    <n v="1.1004725454742926E-3"/>
    <n v="9.9042529092686349E-3"/>
  </r>
  <r>
    <s v="Iran, Islamic Rep."/>
    <s v="IRN"/>
    <s v="Upper middle income"/>
    <x v="2"/>
    <s v="Middle East"/>
    <n v="74462314"/>
    <n v="91336270"/>
    <n v="157"/>
    <n v="1.1004620318530163"/>
    <n v="172.77253900092356"/>
    <n v="98.4"/>
    <n v="1461380.3199999912"/>
    <n v="1461380.3199999912"/>
    <n v="5.8613944938892791E-2"/>
    <n v="252486388.33238062"/>
    <n v="252486388.33238062"/>
    <n v="130357567150.05748"/>
    <n v="1955363507250.8623"/>
    <n v="1.2912503859058061E-4"/>
    <n v="4.3041679530193532E-5"/>
    <n v="3.8737511577174177E-4"/>
  </r>
  <r>
    <s v="Iraq"/>
    <s v="IRQ"/>
    <s v="Upper middle income"/>
    <x v="2"/>
    <s v="Middle East"/>
    <n v="30962380"/>
    <n v="50966609"/>
    <n v="157"/>
    <n v="1.1004620318530163"/>
    <n v="172.77253900092356"/>
    <n v="98"/>
    <n v="1019332.1800000009"/>
    <n v="1019332.1800000009"/>
    <n v="5.8613944938892791E-2"/>
    <n v="176112608.8239466"/>
    <n v="176112608.8239466"/>
    <n v="60551177603.513367"/>
    <n v="908267664052.70044"/>
    <n v="1.9389945915076418E-4"/>
    <n v="6.4633153050254723E-5"/>
    <n v="5.8169837745229258E-4"/>
  </r>
  <r>
    <s v="Ireland"/>
    <s v="IRL"/>
    <s v="High income: OECD"/>
    <x v="1"/>
    <m/>
    <n v="4560155"/>
    <n v="5346841"/>
    <s v="N/A"/>
    <n v="1.1004620318530163"/>
    <e v="#VALUE!"/>
    <n v="100"/>
    <n v="0"/>
    <n v="0"/>
    <n v="0"/>
    <e v="#VALUE!"/>
    <n v="0"/>
    <n v="414476099.13160717"/>
    <n v="6217141486.9741077"/>
    <e v="#VALUE!"/>
    <e v="#VALUE!"/>
    <e v="#VALUE!"/>
  </r>
  <r>
    <s v="Isle of Man"/>
    <s v="IMY"/>
    <s v="High income: nonOECD"/>
    <x v="1"/>
    <m/>
    <n v="83992"/>
    <n v="94237"/>
    <s v="N/A"/>
    <n v="1.1004620318530163"/>
    <e v="#VALUE!"/>
    <n v="100"/>
    <n v="0"/>
    <n v="0"/>
    <n v="0"/>
    <e v="#VALUE!"/>
    <n v="0"/>
    <s v="N/A"/>
    <e v="#VALUE!"/>
    <e v="#VALUE!"/>
    <e v="#VALUE!"/>
    <e v="#VALUE!"/>
  </r>
  <r>
    <s v="Israel"/>
    <s v="ISR"/>
    <s v="High income: OECD"/>
    <x v="2"/>
    <s v="Middle East"/>
    <n v="7623600"/>
    <n v="9632030"/>
    <n v="157"/>
    <n v="1.1004620318530163"/>
    <n v="172.77253900092356"/>
    <n v="100"/>
    <n v="0"/>
    <n v="0"/>
    <n v="5.8613944938892791E-2"/>
    <n v="0"/>
    <n v="0"/>
    <n v="683998780.19966102"/>
    <n v="10259981702.994915"/>
    <n v="0"/>
    <n v="0"/>
    <n v="0"/>
  </r>
  <r>
    <s v="Italy"/>
    <s v="ITA"/>
    <s v="High income: OECD"/>
    <x v="1"/>
    <m/>
    <n v="60483385"/>
    <n v="61211831"/>
    <s v="N/A"/>
    <n v="1.1004620318530163"/>
    <e v="#VALUE!"/>
    <n v="100"/>
    <n v="0"/>
    <n v="0"/>
    <n v="0"/>
    <e v="#VALUE!"/>
    <n v="0"/>
    <n v="3978955289.0601716"/>
    <n v="59684329335.902573"/>
    <e v="#VALUE!"/>
    <e v="#VALUE!"/>
    <e v="#VALUE!"/>
  </r>
  <r>
    <s v="Jamaica"/>
    <s v="JAM"/>
    <s v="Upper middle income"/>
    <x v="5"/>
    <m/>
    <n v="2690824"/>
    <n v="2949838"/>
    <n v="326.89002158513563"/>
    <n v="1.1004620318530163"/>
    <n v="359.73005734605471"/>
    <n v="92"/>
    <n v="235987.03999999989"/>
    <n v="235987.03999999989"/>
    <n v="2.7075295212977562E-2"/>
    <n v="84891631.432125673"/>
    <n v="84891631.432125673"/>
    <n v="244066186.95842627"/>
    <n v="3660992804.3763938"/>
    <n v="2.3188144847115028E-2"/>
    <n v="7.72938161570501E-3"/>
    <n v="6.9564434541345074E-2"/>
  </r>
  <r>
    <s v="Japan"/>
    <s v="JPN"/>
    <s v="High income: OECD"/>
    <x v="3"/>
    <m/>
    <n v="127450459"/>
    <n v="120624738"/>
    <n v="157"/>
    <n v="1.1004620318530163"/>
    <n v="172.77253900092356"/>
    <n v="100"/>
    <n v="0"/>
    <n v="0"/>
    <n v="0.11040303634246594"/>
    <n v="0"/>
    <n v="0"/>
    <n v="1629780081.2566016"/>
    <n v="24446701218.849022"/>
    <n v="0"/>
    <n v="0"/>
    <n v="0"/>
  </r>
  <r>
    <s v="Jordan"/>
    <s v="JOR"/>
    <s v="Upper middle income"/>
    <x v="2"/>
    <s v="Middle East"/>
    <n v="6046000"/>
    <n v="9355173"/>
    <n v="157"/>
    <n v="1.1004620318530163"/>
    <n v="172.77253900092356"/>
    <n v="99.4"/>
    <n v="56131.037999999011"/>
    <n v="56131.037999999011"/>
    <n v="5.8613944938892791E-2"/>
    <n v="9697901.9520171508"/>
    <n v="9697901.9520171508"/>
    <n v="479904568.92910677"/>
    <n v="7198568533.9366016"/>
    <n v="1.347198669610188E-3"/>
    <n v="4.4906622320339595E-4"/>
    <n v="4.0415960088305636E-3"/>
  </r>
  <r>
    <s v="Kazakhstan"/>
    <s v="KAZ"/>
    <s v="Upper middle income"/>
    <x v="1"/>
    <m/>
    <n v="16321581"/>
    <n v="18572745"/>
    <s v="N/A"/>
    <n v="1.1004620318530163"/>
    <e v="#VALUE!"/>
    <n v="100"/>
    <n v="0"/>
    <n v="0"/>
    <n v="0"/>
    <e v="#VALUE!"/>
    <n v="0"/>
    <n v="52080674870.849876"/>
    <n v="781210123062.74817"/>
    <e v="#VALUE!"/>
    <e v="#VALUE!"/>
    <e v="#VALUE!"/>
  </r>
  <r>
    <s v="Kenya"/>
    <s v="KEN"/>
    <s v="Low income"/>
    <x v="4"/>
    <m/>
    <n v="40909194"/>
    <n v="66306062.999999993"/>
    <n v="326.89002158513563"/>
    <n v="1.1004620318530163"/>
    <n v="359.73005734605471"/>
    <n v="23"/>
    <n v="51055668.509999998"/>
    <n v="51055668.509999998"/>
    <n v="2.7075295212977562E-2"/>
    <n v="18366258560.943459"/>
    <n v="18366258560.943459"/>
    <n v="1419333043.2990847"/>
    <n v="21289995649.486271"/>
    <n v="0.86267084612516765"/>
    <n v="0.28755694870838916"/>
    <n v="2.5880125383755028"/>
  </r>
  <r>
    <s v="Kiribati"/>
    <s v="KIR"/>
    <s v="Lower middle income"/>
    <x v="3"/>
    <m/>
    <n v="97743"/>
    <n v="130715"/>
    <n v="157"/>
    <n v="1.1004620318530163"/>
    <n v="172.77253900092356"/>
    <n v="55.766350000000003"/>
    <n v="57820.015597500002"/>
    <n v="57820.015597500002"/>
    <n v="0.11040303634246594"/>
    <n v="9989710.8998530768"/>
    <n v="9989710.8998530768"/>
    <n v="147463.39816805688"/>
    <n v="2211950.9725208534"/>
    <n v="4.5162442675970738"/>
    <n v="1.5054147558656912"/>
    <n v="13.548732802791221"/>
  </r>
  <r>
    <s v="Korea, Dem. Rep."/>
    <s v="PRK"/>
    <s v="Low income"/>
    <x v="3"/>
    <m/>
    <n v="24500520"/>
    <n v="26718625"/>
    <n v="157"/>
    <n v="1.1004620318530163"/>
    <n v="172.77253900092356"/>
    <n v="26"/>
    <n v="19771782.5"/>
    <n v="19771782.5"/>
    <n v="0.11040303634246594"/>
    <n v="3416021063.0990281"/>
    <n v="3416021063.0990281"/>
    <s v="N/A"/>
    <e v="#VALUE!"/>
    <e v="#VALUE!"/>
    <e v="#VALUE!"/>
    <e v="#VALUE!"/>
  </r>
  <r>
    <s v="Korea, Rep."/>
    <s v="KOR"/>
    <s v="High income: OECD"/>
    <x v="3"/>
    <m/>
    <n v="49410366"/>
    <n v="52190069"/>
    <n v="157"/>
    <n v="1.1004620318530163"/>
    <n v="172.77253900092356"/>
    <n v="93.342330000000004"/>
    <n v="3474642.5667922967"/>
    <n v="3474642.5667922967"/>
    <n v="0.11040303634246594"/>
    <n v="600322818.38539124"/>
    <n v="600322818.38539124"/>
    <n v="614733047.31301725"/>
    <n v="9220995709.6952591"/>
    <n v="6.5103903882548386E-2"/>
    <n v="2.1701301294182795E-2"/>
    <n v="0.19531171164764519"/>
  </r>
  <r>
    <s v="Kosovo"/>
    <s v="KSV"/>
    <s v="Lower middle income"/>
    <x v="1"/>
    <m/>
    <n v="1775680"/>
    <s v="N/A"/>
    <s v="N/A"/>
    <n v="1.1004620318530163"/>
    <e v="#VALUE!"/>
    <n v="100"/>
    <e v="#VALUE!"/>
    <n v="0"/>
    <n v="0"/>
    <e v="#VALUE!"/>
    <n v="0"/>
    <n v="177423641.54793903"/>
    <n v="2661354623.2190857"/>
    <e v="#VALUE!"/>
    <e v="#VALUE!"/>
    <e v="#VALUE!"/>
  </r>
  <r>
    <s v="Kuwait"/>
    <s v="KWT"/>
    <s v="High income: nonOECD"/>
    <x v="2"/>
    <s v="Middle East"/>
    <n v="2991580"/>
    <n v="4832793"/>
    <n v="157"/>
    <n v="1.1004620318530163"/>
    <n v="172.77253900092356"/>
    <n v="94.135270000000006"/>
    <n v="283430.26090889977"/>
    <n v="283430.26090889977"/>
    <n v="5.8613944938892791E-2"/>
    <n v="48968965.806924827"/>
    <n v="48968965.806924827"/>
    <n v="62059401760.996567"/>
    <n v="930891026414.94849"/>
    <n v="5.2604402037813509E-5"/>
    <n v="1.7534800679271167E-5"/>
    <n v="1.5781320611344055E-4"/>
  </r>
  <r>
    <s v="Kyrgyz Republic"/>
    <s v="KGZ"/>
    <s v="Low income"/>
    <x v="1"/>
    <m/>
    <n v="5447900"/>
    <n v="6871058"/>
    <s v="N/A"/>
    <n v="1.1004620318530163"/>
    <e v="#VALUE!"/>
    <n v="100"/>
    <n v="0"/>
    <n v="0"/>
    <n v="0"/>
    <e v="#VALUE!"/>
    <n v="0"/>
    <n v="577303538.49183607"/>
    <n v="8659553077.3775406"/>
    <e v="#VALUE!"/>
    <e v="#VALUE!"/>
    <e v="#VALUE!"/>
  </r>
  <r>
    <s v="Lao PDR"/>
    <s v="LAO"/>
    <s v="Lower middle income"/>
    <x v="3"/>
    <m/>
    <n v="6395713"/>
    <n v="8806260"/>
    <n v="157"/>
    <n v="1.1004620318530163"/>
    <n v="172.77253900092356"/>
    <n v="66"/>
    <n v="2994128.4"/>
    <n v="2994128.4"/>
    <n v="0.11040303634246594"/>
    <n v="517303165.76277286"/>
    <n v="517303165.76277286"/>
    <n v="1331952550.8132415"/>
    <n v="19979288262.198624"/>
    <n v="2.5891971674562853E-2"/>
    <n v="8.6306572248542844E-3"/>
    <n v="7.7675915023688563E-2"/>
  </r>
  <r>
    <s v="Latvia"/>
    <s v="LVA"/>
    <s v="High income: nonOECD"/>
    <x v="1"/>
    <m/>
    <n v="2097555"/>
    <n v="1855822"/>
    <s v="N/A"/>
    <n v="1.1004620318530163"/>
    <e v="#VALUE!"/>
    <n v="100"/>
    <n v="0"/>
    <n v="0"/>
    <n v="0"/>
    <e v="#VALUE!"/>
    <n v="0"/>
    <n v="581674804.62426615"/>
    <n v="8725122069.3639927"/>
    <e v="#VALUE!"/>
    <e v="#VALUE!"/>
    <e v="#VALUE!"/>
  </r>
  <r>
    <s v="Lebanon"/>
    <s v="LBN"/>
    <s v="Upper middle income"/>
    <x v="2"/>
    <s v="Middle East"/>
    <n v="4341092"/>
    <n v="5171981"/>
    <n v="157"/>
    <n v="1.1004620318530163"/>
    <n v="172.77253900092356"/>
    <n v="99.9"/>
    <n v="5171.9809999994304"/>
    <n v="5171.9809999994304"/>
    <n v="5.8613944938892791E-2"/>
    <n v="893576.28903443727"/>
    <n v="893576.28903443727"/>
    <n v="1265644.42328598"/>
    <n v="18984666.3492897"/>
    <n v="4.7068316745417539E-2"/>
    <n v="1.568943891513918E-2"/>
    <n v="0.14120495023625262"/>
  </r>
  <r>
    <s v="Lesotho"/>
    <s v="LSO"/>
    <s v="Lower middle income"/>
    <x v="4"/>
    <m/>
    <n v="2008921"/>
    <n v="2419217"/>
    <n v="326.89002158513563"/>
    <n v="1.1004620318530163"/>
    <n v="359.73005734605471"/>
    <n v="17"/>
    <n v="2007950.1099999999"/>
    <n v="2007950.1099999999"/>
    <n v="2.7075295212977562E-2"/>
    <n v="722320008.21831679"/>
    <n v="722320008.21831679"/>
    <n v="103261507.33429362"/>
    <n v="1548922610.0144043"/>
    <n v="0.46633705489753263"/>
    <n v="0.15544568496584421"/>
    <n v="1.3990111646925978"/>
  </r>
  <r>
    <s v="Liberia"/>
    <s v="LBR"/>
    <s v="Low income"/>
    <x v="4"/>
    <m/>
    <n v="3957990"/>
    <n v="6395182"/>
    <n v="326.89002158513563"/>
    <n v="1.1004620318530163"/>
    <n v="359.73005734605471"/>
    <n v="4.0999999999999996"/>
    <n v="6132979.5379999997"/>
    <n v="6132979.5379999997"/>
    <n v="2.7075295212977562E-2"/>
    <n v="2206217080.90692"/>
    <n v="2206217080.90692"/>
    <n v="414154618.30642617"/>
    <n v="6212319274.5963926"/>
    <n v="0.35513581697718771"/>
    <n v="0.11837860565906257"/>
    <n v="1.0654074509315632"/>
  </r>
  <r>
    <s v="Libya"/>
    <s v="LBY"/>
    <s v="Upper middle income"/>
    <x v="2"/>
    <s v="North Africa"/>
    <n v="6040612"/>
    <n v="7459411"/>
    <n v="326.89002158513563"/>
    <n v="1.1004620318530163"/>
    <n v="359.73005734605471"/>
    <n v="100"/>
    <n v="0"/>
    <n v="0"/>
    <n v="2.7075295212977562E-2"/>
    <n v="0"/>
    <n v="0"/>
    <s v="N/A"/>
    <e v="#VALUE!"/>
    <e v="#VALUE!"/>
    <e v="#VALUE!"/>
    <e v="#VALUE!"/>
  </r>
  <r>
    <s v="Liechtenstein"/>
    <s v="LIE"/>
    <s v="High income: nonOECD"/>
    <x v="1"/>
    <m/>
    <n v="36120"/>
    <n v="41314"/>
    <s v="N/A"/>
    <n v="1.1004620318530163"/>
    <e v="#VALUE!"/>
    <n v="100"/>
    <n v="0"/>
    <n v="0"/>
    <n v="0"/>
    <e v="#VALUE!"/>
    <n v="0"/>
    <s v="N/A"/>
    <e v="#VALUE!"/>
    <e v="#VALUE!"/>
    <e v="#VALUE!"/>
    <e v="#VALUE!"/>
  </r>
  <r>
    <s v="Lithuania"/>
    <s v="LTU"/>
    <s v="High income: nonOECD"/>
    <x v="1"/>
    <m/>
    <n v="3097282"/>
    <n v="2816749"/>
    <s v="N/A"/>
    <n v="1.1004620318530163"/>
    <e v="#VALUE!"/>
    <n v="100"/>
    <n v="0"/>
    <n v="0"/>
    <n v="0"/>
    <e v="#VALUE!"/>
    <n v="0"/>
    <n v="397630289.50000304"/>
    <n v="5964454342.5000458"/>
    <e v="#VALUE!"/>
    <e v="#VALUE!"/>
    <e v="#VALUE!"/>
  </r>
  <r>
    <s v="Luxembourg"/>
    <s v="LUX"/>
    <s v="High income: OECD"/>
    <x v="1"/>
    <m/>
    <n v="506953"/>
    <n v="636826"/>
    <s v="N/A"/>
    <n v="1.1004620318530163"/>
    <e v="#VALUE!"/>
    <n v="100"/>
    <n v="0"/>
    <n v="0"/>
    <n v="0"/>
    <e v="#VALUE!"/>
    <n v="0"/>
    <n v="58508352.210030153"/>
    <n v="877625283.15045226"/>
    <e v="#VALUE!"/>
    <e v="#VALUE!"/>
    <e v="#VALUE!"/>
  </r>
  <r>
    <s v="Macao SAR, China"/>
    <s v="MAC"/>
    <s v="High income: nonOECD"/>
    <x v="3"/>
    <m/>
    <n v="534626"/>
    <n v="701551"/>
    <n v="157"/>
    <n v="1.1004620318530163"/>
    <n v="172.77253900092356"/>
    <n v="93.342330000000004"/>
    <n v="46706.950461699955"/>
    <n v="46706.950461699955"/>
    <n v="0.11040303634246594"/>
    <n v="8069678.4202582603"/>
    <n v="8069678.4202582603"/>
    <n v="278781.88696400158"/>
    <n v="4181728.3044600235"/>
    <n v="1.9297471841132152"/>
    <n v="0.64324906137107174"/>
    <n v="5.7892415523396457"/>
  </r>
  <r>
    <s v="Macedonia, FYR"/>
    <s v="MKD"/>
    <s v="Upper middle income"/>
    <x v="1"/>
    <m/>
    <n v="2102216"/>
    <n v="2068730"/>
    <s v="N/A"/>
    <n v="1.1004620318530163"/>
    <e v="#VALUE!"/>
    <n v="99"/>
    <n v="20687.300000000017"/>
    <n v="20687.300000000017"/>
    <n v="0"/>
    <e v="#VALUE!"/>
    <n v="0"/>
    <n v="424368475.62691891"/>
    <n v="6365527134.4037838"/>
    <e v="#VALUE!"/>
    <e v="#VALUE!"/>
    <e v="#VALUE!"/>
  </r>
  <r>
    <s v="Madagascar"/>
    <s v="MDG"/>
    <s v="Low income"/>
    <x v="4"/>
    <m/>
    <n v="21079532"/>
    <n v="36000163"/>
    <n v="326.89002158513563"/>
    <n v="1.1004620318530163"/>
    <n v="359.73005734605471"/>
    <n v="14.3"/>
    <n v="30852139.691"/>
    <n v="30852139.691"/>
    <n v="2.7075295212977562E-2"/>
    <n v="11098441980.29192"/>
    <n v="11098441980.29192"/>
    <n v="692026009.85163426"/>
    <n v="10380390147.774513"/>
    <n v="1.0691738771178414"/>
    <n v="0.3563912923726138"/>
    <n v="3.2075216313535244"/>
  </r>
  <r>
    <s v="Malawi"/>
    <s v="MWI"/>
    <s v="Low income"/>
    <x v="4"/>
    <m/>
    <n v="15013694"/>
    <n v="25959551"/>
    <n v="326.89002158513563"/>
    <n v="1.1004620318530163"/>
    <n v="359.73005734605471"/>
    <n v="8.6999999999999993"/>
    <n v="23701070.063000001"/>
    <n v="23701070.063000001"/>
    <n v="2.7075295212977562E-2"/>
    <n v="8525987292.9258509"/>
    <n v="8525987292.9258509"/>
    <n v="403920728.59788555"/>
    <n v="6058810928.9682837"/>
    <n v="1.4072047127533795"/>
    <n v="0.46906823758445992"/>
    <n v="4.2216141382601391"/>
  </r>
  <r>
    <s v="Malaysia"/>
    <s v="MYS"/>
    <s v="Upper middle income"/>
    <x v="3"/>
    <m/>
    <n v="28275835"/>
    <n v="36845517"/>
    <n v="157"/>
    <n v="1.1004620318530163"/>
    <n v="172.77253900092356"/>
    <n v="99.3"/>
    <n v="257918.61900000024"/>
    <n v="257918.61900000024"/>
    <n v="0.11040303634246594"/>
    <n v="44561254.660241887"/>
    <n v="44561254.660241887"/>
    <n v="26660491900.712803"/>
    <n v="399907378510.69202"/>
    <n v="1.1142893843617964E-4"/>
    <n v="3.7142979478726538E-5"/>
    <n v="3.3428681530853888E-4"/>
  </r>
  <r>
    <s v="Maldives"/>
    <s v="MDV"/>
    <s v="Upper middle income"/>
    <x v="0"/>
    <m/>
    <n v="325694"/>
    <n v="435873"/>
    <n v="64"/>
    <n v="1.1004620318530163"/>
    <n v="70.429570038593042"/>
    <n v="99.9"/>
    <n v="435.87299999995201"/>
    <n v="435.87299999995201"/>
    <n v="5.8613944938892791E-2"/>
    <n v="30698.347981428284"/>
    <n v="30698.347981428284"/>
    <n v="1158905.3361817906"/>
    <n v="17383580.042726859"/>
    <n v="1.7659393465543486E-3"/>
    <n v="5.8864644885144946E-4"/>
    <n v="5.2978180396630447E-3"/>
  </r>
  <r>
    <s v="Mali"/>
    <s v="MLI"/>
    <s v="Low income"/>
    <x v="4"/>
    <m/>
    <n v="13985961"/>
    <n v="26034111"/>
    <n v="326.89002158513563"/>
    <n v="1.1004620318530163"/>
    <n v="359.73005734605471"/>
    <n v="16.600000000000001"/>
    <n v="21712448.573999997"/>
    <n v="21712448.573999997"/>
    <n v="2.7075295212977562E-2"/>
    <n v="7810620370.648283"/>
    <n v="7810620370.648283"/>
    <n v="1347245165.1593575"/>
    <n v="20208677477.390362"/>
    <n v="0.3864983435648805"/>
    <n v="0.12883278118829353"/>
    <n v="1.1594950306946414"/>
  </r>
  <r>
    <s v="Malta"/>
    <s v="MLT"/>
    <s v="High income: nonOECD"/>
    <x v="2"/>
    <m/>
    <n v="414508"/>
    <n v="436792"/>
    <s v="N/A"/>
    <n v="1.1004620318530163"/>
    <e v="#VALUE!"/>
    <n v="100"/>
    <n v="0"/>
    <n v="0"/>
    <n v="0"/>
    <e v="#VALUE!"/>
    <n v="0"/>
    <n v="0"/>
    <n v="0"/>
    <e v="#VALUE!"/>
    <e v="#VALUE!"/>
    <e v="#VALUE!"/>
  </r>
  <r>
    <s v="Marshall Islands"/>
    <s v="MHL"/>
    <s v="Upper middle income"/>
    <x v="3"/>
    <m/>
    <n v="52428"/>
    <n v="58101"/>
    <n v="157"/>
    <n v="1.1004620318530163"/>
    <n v="172.77253900092356"/>
    <n v="55.766350000000003"/>
    <n v="25700.192986500002"/>
    <n v="25700.192986500002"/>
    <n v="0.11040303634246594"/>
    <n v="4440287.5950913336"/>
    <n v="4440287.5950913336"/>
    <n v="0"/>
    <n v="0"/>
    <e v="#DIV/0!"/>
    <e v="#DIV/0!"/>
    <e v="#DIV/0!"/>
  </r>
  <r>
    <s v="Mauritania"/>
    <s v="MRT"/>
    <s v="Lower middle income"/>
    <x v="4"/>
    <m/>
    <n v="3609420"/>
    <n v="5640323"/>
    <n v="326.89002158513563"/>
    <n v="1.1004620318530163"/>
    <n v="359.73005734605471"/>
    <n v="18.2"/>
    <n v="4613784.2140000006"/>
    <n v="4613784.2140000006"/>
    <n v="2.7075295212977562E-2"/>
    <n v="1659716859.8845422"/>
    <n v="1659716859.8845422"/>
    <n v="1996969500.3540106"/>
    <n v="29954542505.310158"/>
    <n v="5.5407852067522571E-2"/>
    <n v="1.8469284022507523E-2"/>
    <n v="0.16622355620256771"/>
  </r>
  <r>
    <s v="Mauritius"/>
    <s v="MUS"/>
    <s v="Upper middle income"/>
    <x v="4"/>
    <m/>
    <n v="1280924"/>
    <n v="1287944"/>
    <n v="326.89002158513563"/>
    <n v="1.1004620318530163"/>
    <n v="359.73005734605471"/>
    <n v="100"/>
    <n v="0"/>
    <n v="0"/>
    <n v="2.7075295212977562E-2"/>
    <n v="0"/>
    <n v="0"/>
    <n v="717808.34286977118"/>
    <n v="10767125.143046567"/>
    <n v="0"/>
    <n v="0"/>
    <n v="0"/>
  </r>
  <r>
    <s v="Mexico"/>
    <s v="MEX"/>
    <s v="Upper middle income"/>
    <x v="5"/>
    <m/>
    <n v="117886404"/>
    <n v="143662574"/>
    <n v="326.89002158513563"/>
    <n v="1.1004620318530163"/>
    <n v="359.73005734605471"/>
    <n v="99.24"/>
    <n v="1091835.5624000074"/>
    <n v="1091835.5624000074"/>
    <n v="2.7075295212977562E-2"/>
    <n v="392766069.47461653"/>
    <n v="392766069.47461653"/>
    <n v="79509538709.839935"/>
    <n v="1192643080647.5991"/>
    <n v="3.2932406672861973E-4"/>
    <n v="1.0977468890953991E-4"/>
    <n v="9.8797220018585915E-4"/>
  </r>
  <r>
    <s v="Micronesia, Fed. Sts."/>
    <s v="FSM"/>
    <s v="Lower middle income"/>
    <x v="3"/>
    <m/>
    <n v="103619"/>
    <n v="120664"/>
    <n v="157"/>
    <n v="1.1004620318530163"/>
    <n v="172.77253900092356"/>
    <n v="55.766350000000003"/>
    <n v="53374.091436000002"/>
    <n v="53374.091436000002"/>
    <n v="0.11040303634246594"/>
    <n v="9221577.2942651697"/>
    <n v="9221577.2942651697"/>
    <n v="122710.4341582333"/>
    <n v="1840656.5123734996"/>
    <n v="5.0099392430226324"/>
    <n v="1.6699797476742109"/>
    <n v="15.029817729067899"/>
  </r>
  <r>
    <s v="Moldova"/>
    <s v="MDA"/>
    <s v="Lower middle income"/>
    <x v="1"/>
    <m/>
    <n v="3562045"/>
    <n v="3066205"/>
    <s v="N/A"/>
    <n v="1.1004620318530163"/>
    <e v="#VALUE!"/>
    <n v="98.6"/>
    <n v="42926.870000000039"/>
    <n v="42926.870000000039"/>
    <n v="0"/>
    <e v="#VALUE!"/>
    <n v="0"/>
    <n v="26844920.985309076"/>
    <n v="402673814.77963614"/>
    <e v="#VALUE!"/>
    <e v="#VALUE!"/>
    <e v="#VALUE!"/>
  </r>
  <r>
    <s v="Monaco"/>
    <s v="MCO"/>
    <s v="High income: nonOECD"/>
    <x v="1"/>
    <m/>
    <n v="36845"/>
    <n v="43857"/>
    <s v="N/A"/>
    <n v="1.1004620318530163"/>
    <e v="#VALUE!"/>
    <n v="100"/>
    <n v="0"/>
    <n v="0"/>
    <n v="0"/>
    <e v="#VALUE!"/>
    <n v="0"/>
    <n v="0"/>
    <n v="0"/>
    <e v="#VALUE!"/>
    <e v="#VALUE!"/>
    <e v="#VALUE!"/>
  </r>
  <r>
    <s v="Mongolia"/>
    <s v="MNG"/>
    <s v="Lower middle income"/>
    <x v="3"/>
    <m/>
    <n v="2712738"/>
    <n v="3387631"/>
    <n v="157"/>
    <n v="1.1004620318530163"/>
    <n v="172.77253900092356"/>
    <n v="86.2"/>
    <n v="467493.07800000004"/>
    <n v="467493.07800000004"/>
    <n v="0.11040303634246594"/>
    <n v="80769966.051416799"/>
    <n v="80769966.051416799"/>
    <n v="2578929370.5691776"/>
    <n v="38683940558.537666"/>
    <n v="2.0879456664760752E-3"/>
    <n v="6.9598188882535829E-4"/>
    <n v="6.2638369994282251E-3"/>
  </r>
  <r>
    <s v="Montenegro"/>
    <s v="MNE"/>
    <s v="Upper middle income"/>
    <x v="1"/>
    <m/>
    <n v="620078"/>
    <n v="607757"/>
    <s v="N/A"/>
    <n v="1.1004620318530163"/>
    <e v="#VALUE!"/>
    <n v="100"/>
    <n v="0"/>
    <n v="0"/>
    <n v="0"/>
    <e v="#VALUE!"/>
    <n v="0"/>
    <n v="57851763.840370655"/>
    <n v="867776457.60555983"/>
    <e v="#VALUE!"/>
    <e v="#VALUE!"/>
    <e v="#VALUE!"/>
  </r>
  <r>
    <s v="Morocco"/>
    <s v="MAR"/>
    <s v="Lower middle income"/>
    <x v="2"/>
    <s v="North Africa"/>
    <n v="31642360"/>
    <n v="39190274"/>
    <n v="157"/>
    <n v="1.1004620318530163"/>
    <n v="172.77253900092356"/>
    <n v="98.9"/>
    <n v="431093.01399999601"/>
    <n v="431093.01399999601"/>
    <n v="0.11040303634246594"/>
    <n v="74481034.574340001"/>
    <n v="74481034.574340001"/>
    <n v="2752538514.3211255"/>
    <n v="41288077714.816879"/>
    <n v="1.8039356321888364E-3"/>
    <n v="6.0131187739627888E-4"/>
    <n v="5.4118068965665102E-3"/>
  </r>
  <r>
    <s v="Mozambique"/>
    <s v="MOZ"/>
    <s v="Low income"/>
    <x v="4"/>
    <m/>
    <n v="23967265"/>
    <n v="38875906"/>
    <n v="326.89002158513563"/>
    <n v="1.1004620318530163"/>
    <n v="359.73005734605471"/>
    <n v="15"/>
    <n v="33044520.099999998"/>
    <n v="33044520.099999998"/>
    <n v="2.7075295212977562E-2"/>
    <n v="11887107110.545856"/>
    <n v="11887107110.545856"/>
    <n v="1468383419.1173403"/>
    <n v="22025751286.760105"/>
    <n v="0.53969133473741315"/>
    <n v="0.17989711157913771"/>
    <n v="1.6190740042122396"/>
  </r>
  <r>
    <s v="Myanmar"/>
    <s v="MMR"/>
    <s v="Low income"/>
    <x v="3"/>
    <m/>
    <n v="51931231"/>
    <n v="58697747"/>
    <n v="157"/>
    <n v="1.1004620318530163"/>
    <n v="172.77253900092356"/>
    <n v="48.8"/>
    <n v="30053246.464000002"/>
    <n v="30053246.464000002"/>
    <n v="0.11040303634246594"/>
    <n v="5192375696.8058081"/>
    <n v="5192375696.8058081"/>
    <s v="N/A"/>
    <e v="#VALUE!"/>
    <e v="#VALUE!"/>
    <e v="#VALUE!"/>
    <e v="#VALUE!"/>
  </r>
  <r>
    <s v="Namibia"/>
    <s v="NAM"/>
    <s v="Upper middle income"/>
    <x v="4"/>
    <m/>
    <n v="2178967"/>
    <n v="3042197"/>
    <n v="326.89002158513563"/>
    <n v="1.1004620318530163"/>
    <n v="359.73005734605471"/>
    <n v="43.7"/>
    <n v="1712756.9109999998"/>
    <n v="1712756.9109999998"/>
    <n v="2.7075295212977562E-2"/>
    <n v="616130141.81388152"/>
    <n v="616130141.81388152"/>
    <n v="322584332.15443879"/>
    <n v="4838764982.3165817"/>
    <n v="0.12733210727645347"/>
    <n v="4.2444035758817826E-2"/>
    <n v="0.38199632182936044"/>
  </r>
  <r>
    <s v="Nepal"/>
    <s v="NPL"/>
    <s v="Low income"/>
    <x v="0"/>
    <m/>
    <n v="26846016"/>
    <n v="32853228.000000004"/>
    <n v="64"/>
    <n v="1.1004620318530163"/>
    <n v="70.429570038593042"/>
    <n v="76.3"/>
    <n v="7786215.0360000003"/>
    <n v="7786215.0360000003"/>
    <n v="5.8613944938892791E-2"/>
    <n v="548379777.21350825"/>
    <n v="548379777.21350825"/>
    <n v="1089428122.9560325"/>
    <n v="16341421844.340488"/>
    <n v="3.3557653822113905E-2"/>
    <n v="1.1185884607371301E-2"/>
    <n v="0.10067296146634172"/>
  </r>
  <r>
    <s v="Netherlands"/>
    <s v="NLD"/>
    <s v="High income: OECD"/>
    <x v="1"/>
    <m/>
    <n v="16615394"/>
    <n v="17268589"/>
    <s v="N/A"/>
    <n v="1.1004620318530163"/>
    <e v="#VALUE!"/>
    <n v="100"/>
    <n v="0"/>
    <n v="0"/>
    <n v="0"/>
    <e v="#VALUE!"/>
    <n v="0"/>
    <n v="9858835201.9990978"/>
    <n v="147882528029.98648"/>
    <e v="#VALUE!"/>
    <e v="#VALUE!"/>
    <e v="#VALUE!"/>
  </r>
  <r>
    <s v="New Caledonia"/>
    <s v="NCL"/>
    <s v="High income: nonOECD"/>
    <x v="3"/>
    <m/>
    <n v="249992"/>
    <n v="311623"/>
    <n v="157"/>
    <n v="1.1004620318530163"/>
    <n v="172.77253900092356"/>
    <n v="55.766350000000003"/>
    <n v="137842.2271395"/>
    <n v="137842.2271395"/>
    <n v="0.11040303634246594"/>
    <n v="23815351.564433426"/>
    <n v="23815351.564433426"/>
    <s v="N/A"/>
    <e v="#VALUE!"/>
    <e v="#VALUE!"/>
    <e v="#VALUE!"/>
    <e v="#VALUE!"/>
  </r>
  <r>
    <s v="New Zealand"/>
    <s v="NZL"/>
    <s v="High income: OECD"/>
    <x v="3"/>
    <m/>
    <n v="4367800"/>
    <n v="5208035"/>
    <n v="157"/>
    <n v="1.1004620318530163"/>
    <n v="172.77253900092356"/>
    <n v="100"/>
    <n v="0"/>
    <n v="0"/>
    <n v="0.11040303634246594"/>
    <n v="0"/>
    <n v="0"/>
    <n v="3454391570.3166966"/>
    <n v="51815873554.75045"/>
    <n v="0"/>
    <n v="0"/>
    <n v="0"/>
  </r>
  <r>
    <s v="Nicaragua"/>
    <s v="NIC"/>
    <s v="Lower middle income"/>
    <x v="5"/>
    <m/>
    <n v="5822209"/>
    <n v="7390914"/>
    <n v="326.89002158513563"/>
    <n v="1.1004620318530163"/>
    <n v="359.73005734605471"/>
    <n v="73.7"/>
    <n v="1943810.382"/>
    <n v="1943810.382"/>
    <n v="2.7075295212977562E-2"/>
    <n v="699247020.18671656"/>
    <n v="699247020.18671656"/>
    <n v="499234155.04849941"/>
    <n v="7488512325.7274914"/>
    <n v="9.3375959038537917E-2"/>
    <n v="3.1125319679512643E-2"/>
    <n v="0.28012787711561377"/>
  </r>
  <r>
    <s v="Niger"/>
    <s v="NER"/>
    <s v="Low income"/>
    <x v="4"/>
    <m/>
    <n v="15893746"/>
    <n v="34512751"/>
    <n v="326.89002158513563"/>
    <n v="1.1004620318530163"/>
    <n v="359.73005734605471"/>
    <n v="9.3000000000000007"/>
    <n v="31303065.157000002"/>
    <n v="31303065.157000002"/>
    <n v="2.7075295212977562E-2"/>
    <n v="11260653424.034897"/>
    <n v="11260653424.034897"/>
    <n v="616279880.15976942"/>
    <n v="9244198202.3965416"/>
    <n v="1.2181319761313201"/>
    <n v="0.40604399204377339"/>
    <n v="3.6543959283939604"/>
  </r>
  <r>
    <s v="Nigeria"/>
    <s v="NGA"/>
    <s v="Lower middle income"/>
    <x v="4"/>
    <m/>
    <n v="159707780"/>
    <n v="273120384"/>
    <n v="326.89002158513563"/>
    <n v="1.1004620318530163"/>
    <n v="359.73005734605471"/>
    <n v="48"/>
    <n v="142022599.68000001"/>
    <n v="142022599.68000001"/>
    <n v="2.7075295212977562E-2"/>
    <n v="51089797927.322174"/>
    <n v="51089797927.322174"/>
    <n v="105572259626.5011"/>
    <n v="1583583894397.5166"/>
    <n v="3.2262135342541846E-2"/>
    <n v="1.0754045114180615E-2"/>
    <n v="9.6786406027625532E-2"/>
  </r>
  <r>
    <s v="Northern Mariana Islands"/>
    <s v="MNP"/>
    <s v="High income: nonOECD"/>
    <x v="3"/>
    <m/>
    <n v="53860"/>
    <n v="56623"/>
    <n v="157"/>
    <n v="1.1004620318530163"/>
    <n v="172.77253900092356"/>
    <s v="N/A"/>
    <e v="#VALUE!"/>
    <n v="0"/>
    <n v="0.11040303634246594"/>
    <e v="#VALUE!"/>
    <n v="0"/>
    <s v="N/A"/>
    <e v="#VALUE!"/>
    <e v="#VALUE!"/>
    <e v="#VALUE!"/>
    <e v="#VALUE!"/>
  </r>
  <r>
    <s v="Norway"/>
    <s v="NOR"/>
    <s v="High income: OECD"/>
    <x v="1"/>
    <m/>
    <n v="4889252"/>
    <n v="5837893"/>
    <s v="N/A"/>
    <n v="1.1004620318530163"/>
    <e v="#VALUE!"/>
    <n v="100"/>
    <n v="0"/>
    <n v="0"/>
    <n v="0"/>
    <e v="#VALUE!"/>
    <n v="0"/>
    <n v="55897649769.889412"/>
    <n v="838464746548.34119"/>
    <e v="#VALUE!"/>
    <e v="#VALUE!"/>
    <e v="#VALUE!"/>
  </r>
  <r>
    <s v="Oman"/>
    <s v="OMN"/>
    <s v="High income: nonOECD"/>
    <x v="2"/>
    <s v="Middle East"/>
    <n v="2802768"/>
    <n v="4920265"/>
    <n v="157"/>
    <n v="1.1004620318530163"/>
    <n v="172.77253900092356"/>
    <n v="94.135270000000006"/>
    <n v="288560.2575344998"/>
    <n v="288560.2575344998"/>
    <n v="5.8613944938892791E-2"/>
    <n v="49855288.348995917"/>
    <n v="49855288.348995917"/>
    <n v="24681714780.510975"/>
    <n v="370225721707.66461"/>
    <n v="1.3466187092306446E-4"/>
    <n v="4.4887290307688153E-5"/>
    <n v="4.0398561276919334E-4"/>
  </r>
  <r>
    <s v="Pakistan"/>
    <s v="PAK"/>
    <s v="Lower middle income"/>
    <x v="0"/>
    <m/>
    <n v="173149306"/>
    <n v="231743898"/>
    <n v="64"/>
    <n v="1.1004620318530163"/>
    <n v="70.429570038593042"/>
    <n v="91.37"/>
    <n v="19999498.397399984"/>
    <n v="19999498.397399984"/>
    <n v="5.8613944938892791E-2"/>
    <n v="1408556073.1164114"/>
    <n v="1408556073.1164114"/>
    <n v="8516083273.6478567"/>
    <n v="127741249104.71785"/>
    <n v="1.1026634567834278E-2"/>
    <n v="3.6755448559447593E-3"/>
    <n v="3.307990370350284E-2"/>
  </r>
  <r>
    <s v="Palau"/>
    <s v="PLW"/>
    <s v="Upper middle income"/>
    <x v="3"/>
    <m/>
    <n v="20470"/>
    <n v="24836"/>
    <n v="157"/>
    <n v="1.1004620318530163"/>
    <n v="172.77253900092356"/>
    <n v="55.766350000000003"/>
    <n v="10985.869314000001"/>
    <n v="10985.869314000001"/>
    <n v="0.11040303634246594"/>
    <n v="1898056.5345121145"/>
    <n v="1898056.5345121145"/>
    <n v="0"/>
    <n v="0"/>
    <e v="#DIV/0!"/>
    <e v="#DIV/0!"/>
    <e v="#DIV/0!"/>
  </r>
  <r>
    <s v="Panama"/>
    <s v="PAN"/>
    <s v="Upper middle income"/>
    <x v="5"/>
    <m/>
    <n v="3678128"/>
    <n v="4882047"/>
    <n v="326.89002158513563"/>
    <n v="1.1004620318530163"/>
    <n v="359.73005734605471"/>
    <n v="88.229380000000006"/>
    <n v="574647.20059139992"/>
    <n v="574647.20059139992"/>
    <n v="2.7075295212977562E-2"/>
    <n v="206717870.42249408"/>
    <n v="206717870.42249408"/>
    <n v="223144062.80733454"/>
    <n v="3347160942.1100183"/>
    <n v="6.1759166648312137E-2"/>
    <n v="2.0586388882770711E-2"/>
    <n v="0.18527749994493642"/>
  </r>
  <r>
    <s v="Papua New Guinea"/>
    <s v="PNG"/>
    <s v="Lower middle income"/>
    <x v="3"/>
    <m/>
    <n v="6858945"/>
    <n v="10044486"/>
    <n v="157"/>
    <n v="1.1004620318530163"/>
    <n v="172.77253900092356"/>
    <n v="14.54415"/>
    <n v="8583600.8894309998"/>
    <n v="8583600.8894309998"/>
    <n v="0.11040303634246594"/>
    <n v="1483010519.4375796"/>
    <n v="1483010519.4375796"/>
    <n v="4102225109.4098563"/>
    <n v="61533376641.147842"/>
    <n v="2.4100912389161479E-2"/>
    <n v="8.0336374630538259E-3"/>
    <n v="7.2302737167484435E-2"/>
  </r>
  <r>
    <s v="Paraguay"/>
    <s v="PRY"/>
    <s v="Lower middle income"/>
    <x v="5"/>
    <m/>
    <n v="6459721"/>
    <n v="8693133"/>
    <n v="326.89002158513563"/>
    <n v="1.1004620318530163"/>
    <n v="359.73005734605471"/>
    <n v="97.43"/>
    <n v="223413.51809999952"/>
    <n v="223413.51809999952"/>
    <n v="2.7075295212977562E-2"/>
    <n v="80368557.677996665"/>
    <n v="80368557.677996665"/>
    <n v="1106511912.5295491"/>
    <n v="16597678687.943237"/>
    <n v="4.8421564960392559E-3"/>
    <n v="1.6140521653464188E-3"/>
    <n v="1.4526469488117769E-2"/>
  </r>
  <r>
    <s v="Peru"/>
    <s v="PER"/>
    <s v="Upper middle income"/>
    <x v="5"/>
    <m/>
    <n v="29262830"/>
    <n v="36513996"/>
    <n v="326.89002158513563"/>
    <n v="1.1004620318530163"/>
    <n v="359.73005734605471"/>
    <n v="85.1"/>
    <n v="5440585.404000001"/>
    <n v="5440585.404000001"/>
    <n v="2.7075295212977562E-2"/>
    <n v="1957142099.3770287"/>
    <n v="1957142099.3770287"/>
    <n v="18873226426.094227"/>
    <n v="283098396391.41339"/>
    <n v="6.9132927784976688E-3"/>
    <n v="2.3044309261658893E-3"/>
    <n v="2.0739878335493008E-2"/>
  </r>
  <r>
    <s v="Philippines"/>
    <s v="PHL"/>
    <s v="Lower middle income"/>
    <x v="3"/>
    <m/>
    <n v="93444322"/>
    <n v="127797234"/>
    <n v="157"/>
    <n v="1.1004620318530163"/>
    <n v="172.77253900092356"/>
    <n v="83.3"/>
    <n v="21342138.078000005"/>
    <n v="21342138.078000005"/>
    <n v="0.11040303634246594"/>
    <n v="3687335383.4443517"/>
    <n v="3687335383.4443517"/>
    <n v="7783755597.3120575"/>
    <n v="116756333959.68086"/>
    <n v="3.1581459081420703E-2"/>
    <n v="1.0527153027140234E-2"/>
    <n v="9.4744377244262115E-2"/>
  </r>
  <r>
    <s v="Poland"/>
    <s v="POL"/>
    <s v="High income: OECD"/>
    <x v="1"/>
    <m/>
    <n v="38183683"/>
    <n v="37447642"/>
    <s v="N/A"/>
    <n v="1.1004620318530163"/>
    <e v="#VALUE!"/>
    <n v="100"/>
    <n v="0"/>
    <n v="0"/>
    <n v="0"/>
    <e v="#VALUE!"/>
    <n v="0"/>
    <n v="8848984711.9180393"/>
    <n v="132734770678.77058"/>
    <e v="#VALUE!"/>
    <e v="#VALUE!"/>
    <e v="#VALUE!"/>
  </r>
  <r>
    <s v="Portugal"/>
    <s v="PRT"/>
    <s v="High income: OECD"/>
    <x v="1"/>
    <m/>
    <n v="10573100"/>
    <n v="10432816"/>
    <s v="N/A"/>
    <n v="1.1004620318530163"/>
    <e v="#VALUE!"/>
    <n v="100"/>
    <n v="0"/>
    <n v="0"/>
    <n v="0"/>
    <e v="#VALUE!"/>
    <n v="0"/>
    <n v="1382577582.3167782"/>
    <n v="20738663734.751671"/>
    <e v="#VALUE!"/>
    <e v="#VALUE!"/>
    <e v="#VALUE!"/>
  </r>
  <r>
    <s v="Puerto Rico"/>
    <s v="PRI"/>
    <s v="High income: nonOECD"/>
    <x v="5"/>
    <m/>
    <n v="3721208"/>
    <n v="3703707"/>
    <n v="326.89002158513563"/>
    <n v="1.1004620318530163"/>
    <n v="359.73005734605471"/>
    <n v="88.229380000000006"/>
    <n v="435949.27688339993"/>
    <n v="435949.27688339993"/>
    <n v="2.7075295212977562E-2"/>
    <n v="156824058.37323654"/>
    <n v="156824058.37323654"/>
    <n v="0"/>
    <n v="0"/>
    <e v="#DIV/0!"/>
    <e v="#DIV/0!"/>
    <e v="#DIV/0!"/>
  </r>
  <r>
    <s v="Qatar"/>
    <s v="QAT"/>
    <s v="High income: nonOECD"/>
    <x v="2"/>
    <s v="Middle East"/>
    <n v="1749713"/>
    <n v="2760329"/>
    <n v="157"/>
    <n v="1.1004620318530163"/>
    <n v="172.77253900092356"/>
    <n v="94.135270000000006"/>
    <n v="161885.84296169988"/>
    <n v="161885.84296169988"/>
    <n v="5.8613944938892791E-2"/>
    <n v="27969428.116797678"/>
    <n v="27969428.116797678"/>
    <n v="36198411498.324532"/>
    <n v="542976172474.86798"/>
    <n v="5.1511336103965523E-5"/>
    <n v="1.7170445367988508E-5"/>
    <n v="1.5453400831189656E-4"/>
  </r>
  <r>
    <s v="Romania"/>
    <s v="ROM"/>
    <s v="Upper middle income"/>
    <x v="1"/>
    <m/>
    <n v="20246871"/>
    <n v="20232088"/>
    <s v="N/A"/>
    <n v="1.1004620318530163"/>
    <e v="#VALUE!"/>
    <n v="100"/>
    <n v="0"/>
    <n v="0"/>
    <n v="0"/>
    <e v="#VALUE!"/>
    <n v="0"/>
    <n v="4151541416.0069842"/>
    <n v="62273121240.104767"/>
    <e v="#VALUE!"/>
    <e v="#VALUE!"/>
    <e v="#VALUE!"/>
  </r>
  <r>
    <s v="Russian Federation"/>
    <s v="RUS"/>
    <s v="High income: nonOECD"/>
    <x v="1"/>
    <m/>
    <n v="142389000"/>
    <n v="133556108"/>
    <s v="N/A"/>
    <n v="1.1004620318530163"/>
    <e v="#VALUE!"/>
    <n v="100"/>
    <n v="0"/>
    <n v="0"/>
    <n v="0"/>
    <e v="#VALUE!"/>
    <n v="0"/>
    <n v="321602181004.87122"/>
    <n v="4824032715073.0684"/>
    <e v="#VALUE!"/>
    <e v="#VALUE!"/>
    <e v="#VALUE!"/>
  </r>
  <r>
    <s v="Rwanda"/>
    <s v="RWA"/>
    <s v="Low income"/>
    <x v="4"/>
    <m/>
    <n v="10836732"/>
    <n v="17771249"/>
    <n v="326.89002158513563"/>
    <n v="1.1004620318530163"/>
    <n v="359.73005734605471"/>
    <n v="10.8"/>
    <n v="15851954.108000001"/>
    <n v="15851954.108000001"/>
    <n v="2.7075295212977562E-2"/>
    <n v="5702424360.3178682"/>
    <n v="5702424360.3178682"/>
    <n v="374942592.12015301"/>
    <n v="5624138881.8022947"/>
    <n v="1.0139195493142741"/>
    <n v="0.33797318310475805"/>
    <n v="3.0417586479428227"/>
  </r>
  <r>
    <s v="Samoa"/>
    <s v="WSM"/>
    <s v="Lower middle income"/>
    <x v="3"/>
    <m/>
    <n v="186029"/>
    <n v="211105"/>
    <n v="157"/>
    <n v="1.1004620318530163"/>
    <n v="172.77253900092356"/>
    <n v="99.6"/>
    <n v="844.42000000000075"/>
    <n v="844.42000000000075"/>
    <n v="0.11040303634246594"/>
    <n v="145892.58738315999"/>
    <n v="145892.58738315999"/>
    <n v="4184944.6022272655"/>
    <n v="62774169.033408985"/>
    <n v="2.3240863181401036E-3"/>
    <n v="7.7469543938003458E-4"/>
    <n v="6.9722589544203104E-3"/>
  </r>
  <r>
    <s v="San Marino"/>
    <s v="SMR"/>
    <s v="High income: nonOECD"/>
    <x v="1"/>
    <m/>
    <n v="30861"/>
    <n v="33108"/>
    <s v="N/A"/>
    <n v="1.1004620318530163"/>
    <e v="#VALUE!"/>
    <n v="100"/>
    <n v="0"/>
    <n v="0"/>
    <n v="0"/>
    <e v="#VALUE!"/>
    <n v="0"/>
    <s v="N/A"/>
    <e v="#VALUE!"/>
    <e v="#VALUE!"/>
    <e v="#VALUE!"/>
    <e v="#VALUE!"/>
  </r>
  <r>
    <s v="Sao Tome and Principe"/>
    <s v="STP"/>
    <s v="Lower middle income"/>
    <x v="4"/>
    <m/>
    <n v="178228"/>
    <n v="278192"/>
    <n v="326.89002158513563"/>
    <n v="1.1004620318530163"/>
    <n v="359.73005734605471"/>
    <n v="56.9"/>
    <n v="119900.75200000001"/>
    <n v="119900.75200000001"/>
    <n v="2.7075295212977562E-2"/>
    <n v="43131904.392795086"/>
    <n v="43131904.392795086"/>
    <n v="6448878.1292010797"/>
    <n v="96733171.938016191"/>
    <n v="0.44588535172228982"/>
    <n v="0.1486284505740966"/>
    <n v="1.3376560551668695"/>
  </r>
  <r>
    <s v="Saudi Arabia"/>
    <s v="SAU"/>
    <s v="High income: nonOECD"/>
    <x v="2"/>
    <s v="Middle East"/>
    <n v="27258387"/>
    <n v="35634201"/>
    <n v="157"/>
    <n v="1.1004620318530163"/>
    <n v="172.77253900092356"/>
    <n v="94.135270000000006"/>
    <n v="2089849.6763072985"/>
    <n v="2089849.6763072985"/>
    <n v="5.8613944938892791E-2"/>
    <n v="361068634.70587021"/>
    <n v="361068634.70587021"/>
    <n v="227429658719.18033"/>
    <n v="3411444880787.7051"/>
    <n v="1.0584038356864766E-4"/>
    <n v="3.5280127856215891E-5"/>
    <n v="3.1752115070594303E-4"/>
  </r>
  <r>
    <s v="Senegal"/>
    <s v="SEN"/>
    <s v="Lower middle income"/>
    <x v="4"/>
    <m/>
    <n v="12950564"/>
    <n v="21855703"/>
    <n v="326.89002158513563"/>
    <n v="1.1004620318530163"/>
    <n v="359.73005734605471"/>
    <n v="56.5"/>
    <n v="9507230.8050000016"/>
    <n v="9507230.8050000016"/>
    <n v="2.7075295212977562E-2"/>
    <n v="3420036682.6848283"/>
    <n v="3420036682.6848283"/>
    <n v="551591058.22012687"/>
    <n v="8273865873.3019028"/>
    <n v="0.41335413639234803"/>
    <n v="0.13778471213078267"/>
    <n v="1.240062409177044"/>
  </r>
  <r>
    <s v="Serbia"/>
    <s v="SRB"/>
    <s v="Upper middle income"/>
    <x v="1"/>
    <m/>
    <n v="7291436"/>
    <n v="8582256"/>
    <s v="N/A"/>
    <n v="1.1004620318530163"/>
    <e v="#VALUE!"/>
    <n v="100"/>
    <n v="0"/>
    <n v="0"/>
    <n v="0"/>
    <e v="#VALUE!"/>
    <n v="0"/>
    <n v="1253506714.6213751"/>
    <n v="18802600719.320625"/>
    <e v="#VALUE!"/>
    <e v="#VALUE!"/>
    <e v="#VALUE!"/>
  </r>
  <r>
    <s v="Seychelles"/>
    <s v="SYC"/>
    <s v="Upper middle income"/>
    <x v="4"/>
    <m/>
    <n v="89770"/>
    <n v="98416"/>
    <n v="326.89002158513563"/>
    <n v="1.1004620318530163"/>
    <n v="359.73005734605471"/>
    <n v="29.145389999999999"/>
    <n v="69732.272977599991"/>
    <n v="69732.272977599991"/>
    <n v="2.7075295212977562E-2"/>
    <n v="25084794.557102785"/>
    <n v="25084794.557102785"/>
    <n v="1160995.7542812461"/>
    <n v="17414936.314218692"/>
    <n v="1.4404183916895474"/>
    <n v="0.48013946389651579"/>
    <n v="4.3212551750686421"/>
  </r>
  <r>
    <s v="Sierra Leone"/>
    <s v="SLE"/>
    <s v="Low income"/>
    <x v="4"/>
    <m/>
    <n v="5751976"/>
    <n v="8057580"/>
    <n v="326.89002158513563"/>
    <n v="1.1004620318530163"/>
    <n v="359.73005734605471"/>
    <n v="12.1"/>
    <n v="7082612.8200000003"/>
    <n v="7082612.8200000003"/>
    <n v="2.7075295212977562E-2"/>
    <n v="2547828715.8985023"/>
    <n v="2547828715.8985023"/>
    <n v="309951994.2008189"/>
    <n v="4649279913.0122833"/>
    <n v="0.54800501659788348"/>
    <n v="0.18266833886596115"/>
    <n v="1.6440150497936503"/>
  </r>
  <r>
    <s v="Singapore"/>
    <s v="SGP"/>
    <s v="High income: nonOECD"/>
    <x v="3"/>
    <m/>
    <n v="5076700"/>
    <n v="6577884"/>
    <n v="157"/>
    <n v="1.1004620318530163"/>
    <n v="172.77253900092356"/>
    <n v="72.598820000000003"/>
    <n v="1802417.8350311995"/>
    <n v="1802417.8350311995"/>
    <n v="0.11040303634246594"/>
    <n v="311408305.69888812"/>
    <n v="311408305.69888812"/>
    <n v="0"/>
    <n v="0"/>
    <e v="#DIV/0!"/>
    <e v="#DIV/0!"/>
    <e v="#DIV/0!"/>
  </r>
  <r>
    <s v="Sint Maarten (Dutch part)"/>
    <s v="SXM"/>
    <s v="High income: nonOECD"/>
    <x v="5"/>
    <m/>
    <n v="37850"/>
    <n v="56791"/>
    <n v="326.89002158513563"/>
    <n v="1.1004620318530163"/>
    <n v="359.73005734605471"/>
    <s v="N/A"/>
    <e v="#VALUE!"/>
    <n v="0"/>
    <n v="2.7075295212977562E-2"/>
    <e v="#VALUE!"/>
    <n v="0"/>
    <s v="N/A"/>
    <e v="#VALUE!"/>
    <e v="#VALUE!"/>
    <e v="#VALUE!"/>
    <e v="#VALUE!"/>
  </r>
  <r>
    <s v="Slovak Republic"/>
    <s v="SVK"/>
    <s v="High income: OECD"/>
    <x v="1"/>
    <m/>
    <n v="5391428"/>
    <n v="5395535"/>
    <s v="N/A"/>
    <n v="1.1004620318530163"/>
    <e v="#VALUE!"/>
    <n v="100"/>
    <n v="0"/>
    <n v="0"/>
    <n v="0"/>
    <e v="#VALUE!"/>
    <n v="0"/>
    <n v="586207377.22308779"/>
    <n v="8793110658.3463173"/>
    <e v="#VALUE!"/>
    <e v="#VALUE!"/>
    <e v="#VALUE!"/>
  </r>
  <r>
    <s v="Slovenia"/>
    <s v="SVN"/>
    <s v="High income: OECD"/>
    <x v="1"/>
    <m/>
    <n v="2048583"/>
    <n v="2086065.9999999998"/>
    <s v="N/A"/>
    <n v="1.1004620318530163"/>
    <e v="#VALUE!"/>
    <n v="100"/>
    <n v="0"/>
    <n v="0"/>
    <n v="0"/>
    <e v="#VALUE!"/>
    <n v="0"/>
    <n v="179102965.90790325"/>
    <n v="2686544488.6185489"/>
    <e v="#VALUE!"/>
    <e v="#VALUE!"/>
    <e v="#VALUE!"/>
  </r>
  <r>
    <s v="Solomon Islands"/>
    <s v="SLB"/>
    <s v="Lower middle income"/>
    <x v="3"/>
    <m/>
    <n v="526447"/>
    <n v="764146"/>
    <n v="157"/>
    <n v="1.1004620318530163"/>
    <n v="172.77253900092356"/>
    <n v="19.244150000000001"/>
    <n v="617092.597541"/>
    <n v="617092.597541"/>
    <n v="0.11040303634246594"/>
    <n v="106616654.87583365"/>
    <n v="106616654.87583365"/>
    <n v="177911447.47763148"/>
    <n v="2668671712.1644721"/>
    <n v="3.9951206583353174E-2"/>
    <n v="1.3317068861117725E-2"/>
    <n v="0.11985361975005952"/>
  </r>
  <r>
    <s v="Somalia"/>
    <s v="SOM"/>
    <s v="Low income"/>
    <x v="4"/>
    <m/>
    <n v="9636173"/>
    <n v="16880129"/>
    <n v="326.89002158513563"/>
    <n v="1.1004620318530163"/>
    <n v="359.73005734605471"/>
    <n v="29.145389999999999"/>
    <n v="11960349.570446899"/>
    <n v="11960349.570446899"/>
    <n v="2.7075295212977562E-2"/>
    <n v="4302497236.8557234"/>
    <n v="4302497236.8557234"/>
    <s v="N/A"/>
    <e v="#VALUE!"/>
    <e v="#VALUE!"/>
    <e v="#VALUE!"/>
    <e v="#VALUE!"/>
  </r>
  <r>
    <s v="South Africa"/>
    <s v="ZAF"/>
    <s v="Upper middle income"/>
    <x v="4"/>
    <m/>
    <n v="50895698"/>
    <n v="58095501"/>
    <n v="326.89002158513563"/>
    <n v="1.1004620318530163"/>
    <n v="359.73005734605471"/>
    <n v="82.7"/>
    <n v="10050521.672999997"/>
    <n v="10050521.672999997"/>
    <n v="2.7075295212977562E-2"/>
    <n v="3615474737.7860546"/>
    <n v="3615474737.7860546"/>
    <n v="29273625097.571095"/>
    <n v="439104376463.56641"/>
    <n v="8.2337479004517267E-3"/>
    <n v="2.7445826334839092E-3"/>
    <n v="2.470124370135518E-2"/>
  </r>
  <r>
    <s v="South Sudan"/>
    <s v="SSD"/>
    <s v="Low income"/>
    <x v="4"/>
    <m/>
    <n v="9940929"/>
    <n v="17296842"/>
    <n v="326.89002158513563"/>
    <n v="1.1004620318530163"/>
    <n v="359.73005734605471"/>
    <n v="1.5"/>
    <n v="17037389.370000001"/>
    <n v="17037389.370000001"/>
    <n v="2.7075295212977562E-2"/>
    <n v="6128861055.0971632"/>
    <n v="6128861055.0971632"/>
    <n v="0"/>
    <n v="0"/>
    <e v="#DIV/0!"/>
    <e v="#DIV/0!"/>
    <e v="#DIV/0!"/>
  </r>
  <r>
    <s v="Spain"/>
    <s v="ESP"/>
    <s v="High income: OECD"/>
    <x v="1"/>
    <m/>
    <n v="46576897"/>
    <n v="48235492"/>
    <s v="N/A"/>
    <n v="1.1004620318530163"/>
    <e v="#VALUE!"/>
    <n v="100"/>
    <n v="0"/>
    <n v="0"/>
    <n v="0"/>
    <e v="#VALUE!"/>
    <n v="0"/>
    <n v="2120296778.8542163"/>
    <n v="31804451682.813244"/>
    <e v="#VALUE!"/>
    <e v="#VALUE!"/>
    <e v="#VALUE!"/>
  </r>
  <r>
    <s v="Sri Lanka"/>
    <s v="LKA"/>
    <s v="Lower middle income"/>
    <x v="0"/>
    <m/>
    <n v="20653000"/>
    <n v="23271183"/>
    <n v="64"/>
    <n v="1.1004620318530163"/>
    <n v="70.429570038593042"/>
    <n v="85.1"/>
    <n v="3467406.2670000005"/>
    <n v="3467406.2670000005"/>
    <n v="5.8613944938892791E-2"/>
    <n v="244207932.53393298"/>
    <n v="244207932.53393298"/>
    <n v="464220477.24420649"/>
    <n v="6963307158.6630974"/>
    <n v="3.5070682216008849E-2"/>
    <n v="1.1690227405336283E-2"/>
    <n v="0.10521204664802655"/>
  </r>
  <r>
    <s v="St. Kitts and Nevis"/>
    <s v="KNA"/>
    <s v="High income: nonOECD"/>
    <x v="5"/>
    <m/>
    <n v="52352"/>
    <n v="62581"/>
    <n v="326.89002158513563"/>
    <n v="1.1004620318530163"/>
    <n v="359.73005734605471"/>
    <n v="88.229380000000006"/>
    <n v="7366.1717021999993"/>
    <n v="7366.1717021999993"/>
    <n v="2.7075295212977562E-2"/>
    <n v="2649833.368853291"/>
    <n v="2649833.368853291"/>
    <n v="0"/>
    <n v="0"/>
    <e v="#DIV/0!"/>
    <e v="#DIV/0!"/>
    <e v="#DIV/0!"/>
  </r>
  <r>
    <s v="St. Lucia"/>
    <s v="LCA"/>
    <s v="Upper middle income"/>
    <x v="5"/>
    <m/>
    <n v="177397"/>
    <n v="201817"/>
    <n v="326.89002158513563"/>
    <n v="1.1004620318530163"/>
    <n v="359.73005734605471"/>
    <n v="88.229380000000006"/>
    <n v="23755.112165399998"/>
    <n v="23755.112165399998"/>
    <n v="2.7075295212977562E-2"/>
    <n v="8545427.8615213037"/>
    <n v="8545427.8615213037"/>
    <n v="643469.71291057637"/>
    <n v="9652045.6936586462"/>
    <n v="0.88534888175421855"/>
    <n v="0.29511629391807287"/>
    <n v="2.6560466452626557"/>
  </r>
  <r>
    <s v="St. Martin (French part)"/>
    <s v="MAF"/>
    <s v="High income: nonOECD"/>
    <x v="5"/>
    <m/>
    <n v="30235"/>
    <s v="N/A"/>
    <n v="326.89002158513563"/>
    <n v="1.1004620318530163"/>
    <n v="359.73005734605471"/>
    <n v="88.229380000000006"/>
    <e v="#VALUE!"/>
    <n v="0"/>
    <n v="2.7075295212977562E-2"/>
    <e v="#VALUE!"/>
    <n v="0"/>
    <s v="N/A"/>
    <e v="#VALUE!"/>
    <e v="#VALUE!"/>
    <e v="#VALUE!"/>
    <e v="#VALUE!"/>
  </r>
  <r>
    <s v="St. Vincent and the Grenadines"/>
    <s v="VCT"/>
    <s v="Upper middle income"/>
    <x v="5"/>
    <m/>
    <n v="109316"/>
    <n v="110012"/>
    <n v="326.89002158513563"/>
    <n v="1.1004620318530163"/>
    <n v="359.73005734605471"/>
    <n v="73.184340000000006"/>
    <n v="29500.443879199996"/>
    <n v="29500.443879199996"/>
    <n v="2.7075295212977562E-2"/>
    <n v="10612196.368398683"/>
    <n v="10612196.368398683"/>
    <n v="486293.25308693683"/>
    <n v="7294398.7963040527"/>
    <n v="1.4548418128407925"/>
    <n v="0.48494727094693091"/>
    <n v="4.364525438522378"/>
  </r>
  <r>
    <s v="Sudan"/>
    <s v="SDN"/>
    <s v="Lower middle income"/>
    <x v="4"/>
    <m/>
    <n v="35652002"/>
    <n v="55077835"/>
    <n v="326.89002158513563"/>
    <n v="1.1004620318530163"/>
    <n v="359.73005734605471"/>
    <n v="29"/>
    <n v="39105262.850000001"/>
    <n v="39105262.850000001"/>
    <n v="2.7075295212977562E-2"/>
    <n v="14067338447.563044"/>
    <n v="14067338447.563044"/>
    <n v="11997149674.977474"/>
    <n v="179957245124.66211"/>
    <n v="7.8170447862869599E-2"/>
    <n v="2.6056815954289866E-2"/>
    <n v="0.23451134358860881"/>
  </r>
  <r>
    <s v="Suriname"/>
    <s v="SUR"/>
    <s v="Upper middle income"/>
    <x v="5"/>
    <m/>
    <n v="524960"/>
    <n v="603805"/>
    <n v="326.89002158513563"/>
    <n v="1.1004620318530163"/>
    <n v="359.73005734605471"/>
    <n v="100"/>
    <n v="0"/>
    <n v="0"/>
    <n v="2.7075295212977562E-2"/>
    <n v="0"/>
    <n v="0"/>
    <n v="608902361.97083366"/>
    <n v="9133535429.5625057"/>
    <n v="0"/>
    <n v="0"/>
    <n v="0"/>
  </r>
  <r>
    <s v="Swaziland"/>
    <s v="SWZ"/>
    <s v="Lower middle income"/>
    <x v="4"/>
    <m/>
    <n v="1193148"/>
    <n v="1515527"/>
    <n v="326.89002158513563"/>
    <n v="1.1004620318530163"/>
    <n v="359.73005734605471"/>
    <n v="35.200000000000003"/>
    <n v="982061.49599999981"/>
    <n v="982061.49599999981"/>
    <n v="2.7075295212977562E-2"/>
    <n v="353277038.2734322"/>
    <n v="353277038.2734322"/>
    <n v="92945139.393425897"/>
    <n v="1394177090.9013884"/>
    <n v="0.2533946659853844"/>
    <n v="8.4464888661794787E-2"/>
    <n v="0.7601839979561531"/>
  </r>
  <r>
    <s v="Sweden"/>
    <s v="SWE"/>
    <s v="High income: OECD"/>
    <x v="1"/>
    <m/>
    <n v="9378126"/>
    <n v="10690986"/>
    <s v="N/A"/>
    <n v="1.1004620318530163"/>
    <e v="#VALUE!"/>
    <n v="100"/>
    <n v="0"/>
    <n v="0"/>
    <n v="0"/>
    <e v="#VALUE!"/>
    <n v="0"/>
    <n v="6600024142.4592056"/>
    <n v="99000362136.888092"/>
    <e v="#VALUE!"/>
    <e v="#VALUE!"/>
    <e v="#VALUE!"/>
  </r>
  <r>
    <s v="Switzerland"/>
    <s v="CHE"/>
    <s v="High income: OECD"/>
    <x v="1"/>
    <m/>
    <n v="7824909"/>
    <n v="9477452"/>
    <s v="N/A"/>
    <n v="1.1004620318530163"/>
    <e v="#VALUE!"/>
    <n v="100"/>
    <n v="0"/>
    <n v="0"/>
    <n v="0"/>
    <e v="#VALUE!"/>
    <n v="0"/>
    <n v="278578079.29358196"/>
    <n v="4178671189.4037294"/>
    <e v="#VALUE!"/>
    <e v="#VALUE!"/>
    <e v="#VALUE!"/>
  </r>
  <r>
    <s v="Syrian Arab Republic"/>
    <s v="SYR"/>
    <s v="Lower middle income"/>
    <x v="2"/>
    <s v="Middle East"/>
    <n v="21532647"/>
    <n v="29933865"/>
    <n v="157"/>
    <n v="1.1004620318530163"/>
    <n v="172.77253900092356"/>
    <n v="92.7"/>
    <n v="2185172.1449999986"/>
    <n v="2185172.1449999986"/>
    <n v="5.8613944938892791E-2"/>
    <n v="377537739.64574403"/>
    <n v="377537739.64574403"/>
    <s v="N/A"/>
    <e v="#VALUE!"/>
    <e v="#VALUE!"/>
    <e v="#VALUE!"/>
    <e v="#VALUE!"/>
  </r>
  <r>
    <s v="Tajikistan"/>
    <s v="TJK"/>
    <s v="Low income"/>
    <x v="1"/>
    <m/>
    <n v="7627326"/>
    <n v="11407028"/>
    <s v="N/A"/>
    <n v="1.1004620318530163"/>
    <e v="#VALUE!"/>
    <n v="100"/>
    <n v="0"/>
    <n v="0"/>
    <n v="0"/>
    <e v="#VALUE!"/>
    <n v="0"/>
    <n v="89930664.353367537"/>
    <n v="1348959965.300513"/>
    <e v="#VALUE!"/>
    <e v="#VALUE!"/>
    <e v="#VALUE!"/>
  </r>
  <r>
    <s v="Tanzania"/>
    <s v="TZA"/>
    <s v="Low income"/>
    <x v="4"/>
    <m/>
    <n v="44973330"/>
    <n v="79354326"/>
    <n v="326.89002158513563"/>
    <n v="1.1004620318530163"/>
    <n v="359.73005734605471"/>
    <n v="14.8"/>
    <n v="67609885.752000004"/>
    <n v="67609885.752000004"/>
    <n v="2.7075295212977562E-2"/>
    <n v="24321308078.727169"/>
    <n v="24321308078.727169"/>
    <n v="2569147998.6777964"/>
    <n v="38537219980.166946"/>
    <n v="0.63111215835610479"/>
    <n v="0.21037071945203495"/>
    <n v="1.8933364750683144"/>
  </r>
  <r>
    <s v="Thailand"/>
    <s v="THA"/>
    <s v="Upper middle income"/>
    <x v="3"/>
    <m/>
    <n v="66402316"/>
    <n v="67554088"/>
    <n v="157"/>
    <n v="1.1004620318530163"/>
    <n v="172.77253900092356"/>
    <n v="99.7"/>
    <n v="202662.26400000017"/>
    <n v="202662.26400000017"/>
    <n v="0.11040303634246594"/>
    <n v="35014473.910955496"/>
    <n v="35014473.910955496"/>
    <n v="13671322551.946495"/>
    <n v="205069838279.19742"/>
    <n v="1.7074414357943839E-4"/>
    <n v="5.6914714526479465E-5"/>
    <n v="5.1223243073831518E-4"/>
  </r>
  <r>
    <s v="Timor-Leste"/>
    <s v="TMP"/>
    <s v="Lower middle income"/>
    <x v="3"/>
    <m/>
    <n v="1142502"/>
    <n v="1555457"/>
    <n v="157"/>
    <n v="1.1004620318530163"/>
    <n v="172.77253900092356"/>
    <n v="38"/>
    <n v="964383.34"/>
    <n v="964383.34"/>
    <n v="0.11040303634246594"/>
    <n v="166618958.22199091"/>
    <n v="166618958.22199091"/>
    <n v="6029932.4922673218"/>
    <n v="90448987.384009823"/>
    <n v="1.8421318252529926"/>
    <n v="0.61404394175099752"/>
    <n v="5.526395475758977"/>
  </r>
  <r>
    <s v="Togo"/>
    <s v="TGO"/>
    <s v="Low income"/>
    <x v="4"/>
    <m/>
    <n v="6306014"/>
    <n v="10014965"/>
    <n v="326.89002158513563"/>
    <n v="1.1004620318530163"/>
    <n v="359.73005734605471"/>
    <n v="27.9"/>
    <n v="7220789.7650000006"/>
    <n v="7220789.7650000006"/>
    <n v="2.7075295212977562E-2"/>
    <n v="2597535116.2472553"/>
    <n v="2597535116.2472553"/>
    <n v="289914233.93356359"/>
    <n v="4348713509.0034542"/>
    <n v="0.59731116130538187"/>
    <n v="0.19910372043512728"/>
    <n v="1.7919334839161456"/>
  </r>
  <r>
    <s v="Tonga"/>
    <s v="TON"/>
    <s v="Upper middle income"/>
    <x v="3"/>
    <m/>
    <n v="104098"/>
    <n v="120995"/>
    <n v="157"/>
    <n v="1.1004620318530163"/>
    <n v="172.77253900092356"/>
    <n v="92.3"/>
    <n v="9316.6150000000089"/>
    <n v="9316.6150000000089"/>
    <n v="0.11040303634246594"/>
    <n v="1609655.228444091"/>
    <n v="1609655.228444091"/>
    <n v="258294.04268454493"/>
    <n v="3874410.640268174"/>
    <n v="0.41545808586068617"/>
    <n v="0.13848602862022871"/>
    <n v="1.2463742575820584"/>
  </r>
  <r>
    <s v="Trinidad and Tobago"/>
    <s v="TTO"/>
    <s v="High income: nonOECD"/>
    <x v="5"/>
    <m/>
    <n v="1328095"/>
    <n v="1307826"/>
    <n v="326.89002158513563"/>
    <n v="1.1004620318530163"/>
    <n v="359.73005734605471"/>
    <n v="99"/>
    <n v="13078.260000000011"/>
    <n v="13078.260000000011"/>
    <n v="2.7075295212977562E-2"/>
    <n v="4704643.219786617"/>
    <n v="4704643.219786617"/>
    <n v="8121778589.9499531"/>
    <n v="121826678849.2493"/>
    <n v="3.8617511896620232E-5"/>
    <n v="1.2872503965540076E-5"/>
    <n v="1.1585253568986069E-4"/>
  </r>
  <r>
    <s v="Tunisia"/>
    <s v="TUN"/>
    <s v="Upper middle income"/>
    <x v="2"/>
    <s v="North Africa"/>
    <n v="10549100"/>
    <n v="12561225"/>
    <n v="326.89002158513563"/>
    <n v="1.1004620318530163"/>
    <n v="359.73005734605471"/>
    <n v="99.5"/>
    <n v="62806.125000000058"/>
    <n v="62806.125000000058"/>
    <n v="2.7075295212977562E-2"/>
    <n v="22593250.947933502"/>
    <n v="22593250.947933502"/>
    <n v="2923132889.5717616"/>
    <n v="43846993343.576424"/>
    <n v="5.1527480506809728E-4"/>
    <n v="1.7175826835603243E-4"/>
    <n v="1.5458244152042921E-3"/>
  </r>
  <r>
    <s v="Turkey"/>
    <s v="TUR"/>
    <s v="Upper middle income"/>
    <x v="1"/>
    <m/>
    <n v="72137546"/>
    <n v="86825345"/>
    <s v="N/A"/>
    <n v="1.1004620318530163"/>
    <e v="#VALUE!"/>
    <n v="100"/>
    <n v="0"/>
    <n v="0"/>
    <n v="0"/>
    <e v="#VALUE!"/>
    <n v="0"/>
    <n v="4369682103.2413588"/>
    <n v="65545231548.620384"/>
    <e v="#VALUE!"/>
    <e v="#VALUE!"/>
    <e v="#VALUE!"/>
  </r>
  <r>
    <s v="Turkmenistan"/>
    <s v="TKM"/>
    <s v="Upper middle income"/>
    <x v="1"/>
    <m/>
    <n v="5041995"/>
    <n v="6159875"/>
    <s v="N/A"/>
    <n v="1.1004620318530163"/>
    <e v="#VALUE!"/>
    <n v="100"/>
    <n v="0"/>
    <n v="0"/>
    <n v="0"/>
    <e v="#VALUE!"/>
    <n v="0"/>
    <n v="8829721321.8512516"/>
    <n v="132445819827.76877"/>
    <e v="#VALUE!"/>
    <e v="#VALUE!"/>
    <e v="#VALUE!"/>
  </r>
  <r>
    <s v="Turks and Caicos Islands"/>
    <s v="TCA"/>
    <s v="High income: nonOECD"/>
    <x v="5"/>
    <m/>
    <n v="30993"/>
    <n v="40698"/>
    <n v="326.89002158513563"/>
    <n v="1.1004620318530163"/>
    <n v="359.73005734605471"/>
    <n v="88.229380000000006"/>
    <n v="4790.4069275999991"/>
    <n v="4790.4069275999991"/>
    <n v="2.7075295212977562E-2"/>
    <n v="1723253.3587764853"/>
    <n v="1723253.3587764853"/>
    <s v="N/A"/>
    <e v="#VALUE!"/>
    <e v="#VALUE!"/>
    <e v="#VALUE!"/>
    <e v="#VALUE!"/>
  </r>
  <r>
    <s v="Tuvalu"/>
    <s v="TUV"/>
    <s v="Upper middle income"/>
    <x v="3"/>
    <m/>
    <n v="9827"/>
    <n v="10707"/>
    <n v="157"/>
    <n v="1.1004620318530163"/>
    <n v="172.77253900092356"/>
    <n v="41"/>
    <n v="6317.130000000001"/>
    <n v="6317.130000000001"/>
    <n v="0.11040303634246594"/>
    <n v="1091426.5892989044"/>
    <n v="1091426.5892989044"/>
    <n v="0"/>
    <n v="0"/>
    <e v="#DIV/0!"/>
    <e v="#DIV/0!"/>
    <e v="#DIV/0!"/>
  </r>
  <r>
    <s v="Uganda"/>
    <s v="UGA"/>
    <s v="Low income"/>
    <x v="4"/>
    <m/>
    <n v="33987213"/>
    <n v="63387713"/>
    <n v="326.89002158513563"/>
    <n v="1.1004620318530163"/>
    <n v="359.73005734605471"/>
    <n v="14.6"/>
    <n v="54133106.901999995"/>
    <n v="54133106.901999995"/>
    <n v="2.7075295212977562E-2"/>
    <n v="19473305650.176567"/>
    <n v="19473305650.176567"/>
    <n v="2346264440.3663912"/>
    <n v="35193966605.495865"/>
    <n v="0.5533137502930866"/>
    <n v="0.18443791676436219"/>
    <n v="1.6599412508792597"/>
  </r>
  <r>
    <s v="Ukraine"/>
    <s v="UKR"/>
    <s v="Lower middle income"/>
    <x v="1"/>
    <m/>
    <n v="45870700"/>
    <n v="39841900"/>
    <s v="N/A"/>
    <n v="1.1004620318530163"/>
    <e v="#VALUE!"/>
    <n v="99.8"/>
    <n v="79683.800000000076"/>
    <n v="79683.800000000076"/>
    <n v="0"/>
    <e v="#VALUE!"/>
    <n v="0"/>
    <n v="7490439523.5188084"/>
    <n v="112356592852.78212"/>
    <e v="#VALUE!"/>
    <e v="#VALUE!"/>
    <e v="#VALUE!"/>
  </r>
  <r>
    <s v="United Arab Emirates"/>
    <s v="ARE"/>
    <s v="High income: nonOECD"/>
    <x v="2"/>
    <s v="Middle East"/>
    <n v="8441537"/>
    <n v="12330367"/>
    <n v="157"/>
    <n v="1.1004620318530163"/>
    <n v="172.77253900092356"/>
    <n v="94.135270000000006"/>
    <n v="723142.73255909944"/>
    <n v="723142.73255909944"/>
    <n v="5.8613944938892791E-2"/>
    <n v="124939205.96430144"/>
    <n v="124939205.96430144"/>
    <n v="62330586907.323227"/>
    <n v="934958803609.84839"/>
    <n v="1.3363070702357671E-4"/>
    <n v="4.4543569007858907E-5"/>
    <n v="4.0089212107073007E-4"/>
  </r>
  <r>
    <s v="United Kingdom"/>
    <s v="GBR"/>
    <s v="High income: OECD"/>
    <x v="1"/>
    <m/>
    <n v="62747868"/>
    <n v="68630898"/>
    <s v="N/A"/>
    <n v="1.1004620318530163"/>
    <e v="#VALUE!"/>
    <n v="100"/>
    <n v="0"/>
    <n v="0"/>
    <n v="0"/>
    <e v="#VALUE!"/>
    <n v="0"/>
    <n v="35339743590.988991"/>
    <n v="530096153864.83484"/>
    <e v="#VALUE!"/>
    <e v="#VALUE!"/>
    <e v="#VALUE!"/>
  </r>
  <r>
    <s v="United States"/>
    <s v="USA"/>
    <s v="High income: OECD"/>
    <x v="6"/>
    <m/>
    <n v="309326225"/>
    <n v="362628830"/>
    <s v="N/A"/>
    <n v="1.1004620318530163"/>
    <e v="#VALUE!"/>
    <n v="100"/>
    <n v="0"/>
    <n v="0"/>
    <n v="0"/>
    <e v="#VALUE!"/>
    <n v="0"/>
    <n v="183742824092.28073"/>
    <n v="2756142361384.2109"/>
    <e v="#VALUE!"/>
    <e v="#VALUE!"/>
    <e v="#VALUE!"/>
  </r>
  <r>
    <s v="Uruguay"/>
    <s v="URY"/>
    <s v="High income: nonOECD"/>
    <x v="5"/>
    <m/>
    <n v="3371982"/>
    <n v="3581432"/>
    <n v="326.89002158513563"/>
    <n v="1.1004620318530163"/>
    <n v="359.73005734605471"/>
    <n v="99.11"/>
    <n v="31874.74480000007"/>
    <n v="31874.74480000007"/>
    <n v="2.7075295212977562E-2"/>
    <n v="11466303.774794884"/>
    <n v="11466303.774794884"/>
    <n v="1344798564.3950837"/>
    <n v="20171978465.926254"/>
    <n v="5.6842732576595461E-4"/>
    <n v="1.894757752553182E-4"/>
    <n v="1.7052819772978638E-3"/>
  </r>
  <r>
    <s v="Uzbekistan"/>
    <s v="UZB"/>
    <s v="Lower middle income"/>
    <x v="1"/>
    <m/>
    <n v="28562400"/>
    <n v="34146873"/>
    <s v="N/A"/>
    <n v="1.1004620318530163"/>
    <e v="#VALUE!"/>
    <n v="100"/>
    <n v="0"/>
    <n v="0"/>
    <n v="0"/>
    <e v="#VALUE!"/>
    <n v="0"/>
    <n v="10682101144.876232"/>
    <n v="160231517173.14349"/>
    <e v="#VALUE!"/>
    <e v="#VALUE!"/>
    <e v="#VALUE!"/>
  </r>
  <r>
    <s v="Vanuatu"/>
    <s v="VUT"/>
    <s v="Lower middle income"/>
    <x v="3"/>
    <m/>
    <n v="236299"/>
    <n v="352225"/>
    <n v="157"/>
    <n v="1.1004620318530163"/>
    <n v="172.77253900092356"/>
    <n v="23.514250000000001"/>
    <n v="269401.93293750001"/>
    <n v="269401.93293750001"/>
    <n v="0.11040303634246594"/>
    <n v="46545255.965368412"/>
    <n v="46545255.965368412"/>
    <n v="7861829.9212791082"/>
    <n v="117927448.81918663"/>
    <n v="0.39469399560007751"/>
    <n v="0.13156466520002583"/>
    <n v="1.1840819868002324"/>
  </r>
  <r>
    <s v="Venezuela, RB"/>
    <s v="VEN"/>
    <s v="Upper middle income"/>
    <x v="5"/>
    <m/>
    <n v="29043283"/>
    <n v="37172167"/>
    <n v="326.89002158513563"/>
    <n v="1.1004620318530163"/>
    <n v="359.73005734605471"/>
    <n v="100"/>
    <n v="0"/>
    <n v="0"/>
    <n v="2.7075295212977562E-2"/>
    <n v="0"/>
    <n v="0"/>
    <n v="80589397008.56813"/>
    <n v="1208840955128.522"/>
    <n v="0"/>
    <n v="0"/>
    <n v="0"/>
  </r>
  <r>
    <s v="Vietnam"/>
    <s v="VNM"/>
    <s v="Lower middle income"/>
    <x v="3"/>
    <m/>
    <n v="86932500"/>
    <n v="101830324"/>
    <n v="157"/>
    <n v="1.1004620318530163"/>
    <n v="172.77253900092356"/>
    <n v="96"/>
    <n v="4073212.9600000037"/>
    <n v="4073212.9600000037"/>
    <n v="0.11040303634246594"/>
    <n v="703739344.99066794"/>
    <n v="703739344.99066794"/>
    <n v="13594414917.099127"/>
    <n v="203916223756.48691"/>
    <n v="3.4511199355626593E-3"/>
    <n v="1.1503733118542199E-3"/>
    <n v="1.0353359806687978E-2"/>
  </r>
  <r>
    <s v="Virgin Islands (U.S.)"/>
    <s v="VIR"/>
    <s v="High income: nonOECD"/>
    <x v="5"/>
    <m/>
    <n v="106267"/>
    <n v="104912"/>
    <n v="326.89002158513563"/>
    <n v="1.1004620318530163"/>
    <n v="359.73005734605471"/>
    <n v="88.229380000000006"/>
    <n v="12348.792854399999"/>
    <n v="12348.792854399999"/>
    <n v="2.7075295212977562E-2"/>
    <n v="4442231.9616678618"/>
    <n v="4442231.9616678618"/>
    <s v="N/A"/>
    <e v="#VALUE!"/>
    <e v="#VALUE!"/>
    <e v="#VALUE!"/>
    <e v="#VALUE!"/>
  </r>
  <r>
    <s v="West Bank and Gaza"/>
    <s v="WBG"/>
    <s v="Lower middle income"/>
    <x v="2"/>
    <s v="Middle East"/>
    <n v="3811102"/>
    <s v="N/A"/>
    <n v="157"/>
    <n v="1.1004620318530163"/>
    <n v="172.77253900092356"/>
    <n v="94.135270000000006"/>
    <e v="#VALUE!"/>
    <n v="0"/>
    <n v="5.8613944938892791E-2"/>
    <e v="#VALUE!"/>
    <n v="0"/>
    <s v="N/A"/>
    <e v="#VALUE!"/>
    <e v="#VALUE!"/>
    <e v="#VALUE!"/>
    <e v="#VALUE!"/>
  </r>
  <r>
    <s v="Yemen, Rep."/>
    <s v="YEM"/>
    <s v="Lower middle income"/>
    <x v="2"/>
    <s v="Middle East"/>
    <n v="22763008"/>
    <n v="33991041"/>
    <n v="157"/>
    <n v="1.1004620318530163"/>
    <n v="172.77253900092356"/>
    <n v="44.844149999999999"/>
    <n v="18748047.587398503"/>
    <n v="18748047.587398503"/>
    <n v="5.8613944938892791E-2"/>
    <n v="3239147782.9849787"/>
    <n v="3239147782.9849787"/>
    <n v="6972508226.6016922"/>
    <n v="104587623399.02539"/>
    <n v="3.0970660559203059E-2"/>
    <n v="1.0323553519734354E-2"/>
    <n v="9.2911981677609182E-2"/>
  </r>
  <r>
    <s v="Zambia"/>
    <s v="ZMB"/>
    <s v="Lower middle income"/>
    <x v="4"/>
    <m/>
    <n v="13216985"/>
    <n v="24956509"/>
    <n v="326.89002158513563"/>
    <n v="1.1004620318530163"/>
    <n v="359.73005734605471"/>
    <n v="18.5"/>
    <n v="20339554.834999997"/>
    <n v="20339554.834999997"/>
    <n v="2.7075295212977562E-2"/>
    <n v="7316749227.1877737"/>
    <n v="7316749227.1877737"/>
    <n v="4492889935.3189192"/>
    <n v="67393349029.783791"/>
    <n v="0.10856782356897285"/>
    <n v="3.618927452299095E-2"/>
    <n v="0.32570347070691852"/>
  </r>
  <r>
    <s v="Zimbabwe"/>
    <s v="ZWE"/>
    <s v="Low income"/>
    <x v="4"/>
    <m/>
    <n v="13076978"/>
    <n v="20292380"/>
    <n v="326.89002158513563"/>
    <n v="1.1004620318530163"/>
    <n v="359.73005734605471"/>
    <n v="36.9"/>
    <n v="12804491.779999999"/>
    <n v="12804491.779999999"/>
    <n v="2.7075295212977562E-2"/>
    <n v="4606160562.3064861"/>
    <n v="4606160562.3064861"/>
    <n v="996384461.46226156"/>
    <n v="14945766921.933924"/>
    <n v="0.30819164960659423"/>
    <n v="0.10273054986886473"/>
    <n v="0.92457494881978264"/>
  </r>
  <r>
    <m/>
    <m/>
    <m/>
    <x v="7"/>
    <m/>
    <m/>
    <m/>
    <m/>
    <m/>
    <m/>
    <m/>
    <m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15">
  <r>
    <s v="Afghanistan"/>
    <s v="AFG"/>
    <x v="0"/>
    <s v="Total natural resources rents (% of GDP)"/>
    <s v="NY.GDP.TOTL.RT.ZS"/>
    <n v="1.728279518717468"/>
    <n v="15936784436.181129"/>
    <n v="275432181.35267156"/>
    <n v="4131482720.2900734"/>
  </r>
  <r>
    <s v="Albania"/>
    <s v="ALB"/>
    <x v="1"/>
    <s v="Total natural resources rents (% of GDP)"/>
    <s v="NY.GDP.TOTL.RT.ZS"/>
    <n v="3.4701426951682657"/>
    <n v="11858166294.840921"/>
    <n v="411495291.46132761"/>
    <n v="6172429371.9199142"/>
  </r>
  <r>
    <s v="Algeria"/>
    <s v="DZA"/>
    <x v="2"/>
    <s v="Total natural resources rents (% of GDP)"/>
    <s v="NY.GDP.TOTL.RT.ZS"/>
    <n v="25.613069014385857"/>
    <n v="161207304960.4552"/>
    <n v="41290138275.752869"/>
    <n v="619352074136.29297"/>
  </r>
  <r>
    <s v="American Samoa"/>
    <s v="ASM"/>
    <x v="3"/>
    <s v="Total natural resources rents (% of GDP)"/>
    <s v="NY.GDP.TOTL.RT.ZS"/>
    <s v="NA"/>
    <s v="NA"/>
    <m/>
    <m/>
  </r>
  <r>
    <s v="Andorra"/>
    <s v="ADO"/>
    <x v="1"/>
    <s v="Total natural resources rents (% of GDP)"/>
    <s v="NY.GDP.TOTL.RT.ZS"/>
    <s v="NA"/>
    <s v="NA"/>
    <m/>
    <m/>
  </r>
  <r>
    <s v="Angola"/>
    <s v="AGO"/>
    <x v="4"/>
    <s v="Total natural resources rents (% of GDP)"/>
    <s v="NY.GDP.TOTL.RT.ZS"/>
    <n v="46.179566168728648"/>
    <n v="82470894868.333679"/>
    <n v="38084701465.664787"/>
    <n v="571270521984.9718"/>
  </r>
  <r>
    <s v="Antigua and Barbuda"/>
    <s v="ATG"/>
    <x v="5"/>
    <s v="Total natural resources rents (% of GDP)"/>
    <s v="NY.GDP.TOTL.RT.ZS"/>
    <n v="0"/>
    <n v="1161528615.9259257"/>
    <n v="0"/>
    <n v="0"/>
  </r>
  <r>
    <s v="Argentina"/>
    <s v="ARG"/>
    <x v="5"/>
    <s v="Total natural resources rents (% of GDP)"/>
    <s v="NY.GDP.TOTL.RT.ZS"/>
    <n v="6.5062490962639679"/>
    <n v="368736062143.66882"/>
    <n v="23990886710.821796"/>
    <n v="359863300662.32697"/>
  </r>
  <r>
    <s v="Armenia"/>
    <s v="ARM"/>
    <x v="1"/>
    <s v="Total natural resources rents (% of GDP)"/>
    <s v="NY.GDP.TOTL.RT.ZS"/>
    <n v="3.7459484187502801"/>
    <n v="9260297329.1227322"/>
    <n v="346885961.37184739"/>
    <n v="5203289420.5777111"/>
  </r>
  <r>
    <s v="Aruba"/>
    <s v="ABW"/>
    <x v="5"/>
    <s v="Total natural resources rents (% of GDP)"/>
    <s v="NY.GDP.TOTL.RT.ZS"/>
    <n v="3.7830099341938299E-3"/>
    <n v="2467703910.6145253"/>
    <n v="93353.484085037111"/>
    <n v="1400302.2612755566"/>
  </r>
  <r>
    <s v="Australia"/>
    <s v="AUS"/>
    <x v="3"/>
    <s v="Total natural resources rents (% of GDP)"/>
    <s v="NY.GDP.TOTL.RT.ZS"/>
    <n v="9.7652213736062734"/>
    <n v="1141793593834.2456"/>
    <n v="111498672067.56895"/>
    <n v="1672480081013.5344"/>
  </r>
  <r>
    <s v="Austria"/>
    <s v="AUT"/>
    <x v="1"/>
    <s v="Total natural resources rents (% of GDP)"/>
    <s v="NY.GDP.TOTL.RT.ZS"/>
    <n v="0.4530519499627883"/>
    <n v="377679836476.59576"/>
    <n v="1711085863.7734871"/>
    <n v="25666287956.602306"/>
  </r>
  <r>
    <s v="Azerbaijan"/>
    <s v="AZE"/>
    <x v="1"/>
    <s v="Total natural resources rents (% of GDP)"/>
    <s v="NY.GDP.TOTL.RT.ZS"/>
    <n v="46.133990808979689"/>
    <n v="52905998878.714264"/>
    <n v="24407648660.104939"/>
    <n v="366114729901.5741"/>
  </r>
  <r>
    <s v="Bahamas, The"/>
    <s v="BHS"/>
    <x v="5"/>
    <s v="Total natural resources rents (% of GDP)"/>
    <s v="NY.GDP.TOTL.RT.ZS"/>
    <n v="3.3619312453682E-2"/>
    <n v="7888087000"/>
    <n v="2651920.615148271"/>
    <n v="39778809.227224067"/>
  </r>
  <r>
    <s v="Bahrain"/>
    <s v="BHR"/>
    <x v="2"/>
    <s v="Total natural resources rents (% of GDP)"/>
    <s v="NY.GDP.TOTL.RT.ZS"/>
    <n v="22.668945214993286"/>
    <n v="25713547868.835384"/>
    <n v="5828990079.2173672"/>
    <n v="87434851188.260513"/>
  </r>
  <r>
    <s v="Bangladesh"/>
    <s v="BGD"/>
    <x v="0"/>
    <s v="Total natural resources rents (% of GDP)"/>
    <s v="NY.GDP.TOTL.RT.ZS"/>
    <n v="5.1046479244229843"/>
    <n v="100357022443.83252"/>
    <n v="5122872663.1918049"/>
    <n v="76843089947.877075"/>
  </r>
  <r>
    <s v="Barbados"/>
    <s v="BRB"/>
    <x v="5"/>
    <s v="Total natural resources rents (% of GDP)"/>
    <s v="NY.GDP.TOTL.RT.ZS"/>
    <n v="2.3805664176058599E-2"/>
    <n v="4433700000"/>
    <n v="1055471.7325739102"/>
    <n v="15832075.988608653"/>
  </r>
  <r>
    <s v="Belarus"/>
    <s v="BLR"/>
    <x v="1"/>
    <s v="Total natural resources rents (% of GDP)"/>
    <s v="NY.GDP.TOTL.RT.ZS"/>
    <n v="2.4976306510289472"/>
    <n v="55220932613.957985"/>
    <n v="1379214938.7502549"/>
    <n v="20688224081.253822"/>
  </r>
  <r>
    <s v="Belgium"/>
    <s v="BEL"/>
    <x v="1"/>
    <s v="Total natural resources rents (% of GDP)"/>
    <s v="NY.GDP.TOTL.RT.ZS"/>
    <n v="6.4985824251083901E-2"/>
    <n v="471150756074.17511"/>
    <n v="306181202.30001646"/>
    <n v="4592718034.500247"/>
  </r>
  <r>
    <s v="Belize"/>
    <s v="BLZ"/>
    <x v="5"/>
    <s v="Total natural resources rents (% of GDP)"/>
    <s v="NY.GDP.TOTL.RT.ZS"/>
    <n v="1.0091866577688799"/>
    <n v="1397900000"/>
    <n v="14107420.288951172"/>
    <n v="211611304.33426759"/>
  </r>
  <r>
    <s v="Benin"/>
    <s v="BEN"/>
    <x v="4"/>
    <s v="Total natural resources rents (% of GDP)"/>
    <s v="NY.GDP.TOTL.RT.ZS"/>
    <n v="5.47069381805861"/>
    <n v="6558416322.119997"/>
    <n v="358790876.29676551"/>
    <n v="5381863144.4514828"/>
  </r>
  <r>
    <s v="Bermuda"/>
    <s v="BMU"/>
    <x v="6"/>
    <s v="Total natural resources rents (% of GDP)"/>
    <s v="NY.GDP.TOTL.RT.ZS"/>
    <n v="0"/>
    <n v="5744414000"/>
    <n v="0"/>
    <n v="0"/>
  </r>
  <r>
    <s v="Bhutan"/>
    <s v="BTN"/>
    <x v="0"/>
    <s v="Total natural resources rents (% of GDP)"/>
    <s v="NY.GDP.TOTL.RT.ZS"/>
    <n v="24.269879733701952"/>
    <n v="1585319109.1082966"/>
    <n v="384755041.17597884"/>
    <n v="5771325617.6396828"/>
  </r>
  <r>
    <s v="Bolivia"/>
    <s v="BOL"/>
    <x v="5"/>
    <s v="Total natural resources rents (% of GDP)"/>
    <s v="NY.GDP.TOTL.RT.ZS"/>
    <n v="20.069457272349599"/>
    <n v="19649724655.58194"/>
    <n v="3943593093.8863621"/>
    <n v="59153896408.295433"/>
  </r>
  <r>
    <s v="Bosnia and Herzegovina"/>
    <s v="BIH"/>
    <x v="1"/>
    <s v="Total natural resources rents (% of GDP)"/>
    <s v="NY.GDP.TOTL.RT.ZS"/>
    <n v="3.5505749486429199"/>
    <n v="16775469777.651642"/>
    <n v="595625627.44246328"/>
    <n v="8934384411.6369495"/>
  </r>
  <r>
    <s v="Botswana"/>
    <s v="BWA"/>
    <x v="4"/>
    <s v="Total natural resources rents (% of GDP)"/>
    <s v="NY.GDP.TOTL.RT.ZS"/>
    <n v="4.9914288898270467"/>
    <n v="13746712705.593555"/>
    <n v="686157389.38852191"/>
    <n v="10292360840.827829"/>
  </r>
  <r>
    <s v="Brazil"/>
    <s v="BRA"/>
    <x v="5"/>
    <s v="Total natural resources rents (% of GDP)"/>
    <s v="NY.GDP.TOTL.RT.ZS"/>
    <n v="6.1432046911441409"/>
    <n v="2143035333258.2432"/>
    <n v="131651047125.59688"/>
    <n v="1974765706883.9531"/>
  </r>
  <r>
    <s v="Brunei Darussalam"/>
    <s v="BRN"/>
    <x v="3"/>
    <s v="Total natural resources rents (% of GDP)"/>
    <s v="NY.GDP.TOTL.RT.ZS"/>
    <n v="45.423459209107094"/>
    <n v="12369708858.902905"/>
    <n v="5618749657.8090668"/>
    <n v="84281244867.136002"/>
  </r>
  <r>
    <s v="Bulgaria"/>
    <s v="BGR"/>
    <x v="1"/>
    <s v="Total natural resources rents (% of GDP)"/>
    <s v="NY.GDP.TOTL.RT.ZS"/>
    <n v="2.5901411838291741"/>
    <n v="47727325908.633011"/>
    <n v="1236205124.2998753"/>
    <n v="18543076864.498131"/>
  </r>
  <r>
    <s v="Burkina Faso"/>
    <s v="BFA"/>
    <x v="4"/>
    <s v="Total natural resources rents (% of GDP)"/>
    <s v="NY.GDP.TOTL.RT.ZS"/>
    <n v="15.309366601061171"/>
    <n v="9209288383.0871105"/>
    <n v="1409883719.9157445"/>
    <n v="21148255798.736168"/>
  </r>
  <r>
    <s v="Burundi"/>
    <s v="BDI"/>
    <x v="4"/>
    <s v="Total natural resources rents (% of GDP)"/>
    <s v="NY.GDP.TOTL.RT.ZS"/>
    <n v="27.221973049142122"/>
    <n v="2026864414.4687095"/>
    <n v="551752484.64932442"/>
    <n v="8276287269.7398663"/>
  </r>
  <r>
    <s v="Cabo Verde"/>
    <s v="CPV"/>
    <x v="4"/>
    <s v="Total natural resources rents (% of GDP)"/>
    <s v="NY.GDP.TOTL.RT.ZS"/>
    <n v="0.57348194330278901"/>
    <n v="1664310632.0316164"/>
    <n v="9544520.9551698435"/>
    <n v="143167814.32754764"/>
  </r>
  <r>
    <s v="Cambodia"/>
    <s v="KHM"/>
    <x v="3"/>
    <s v="Total natural resources rents (% of GDP)"/>
    <s v="NY.GDP.TOTL.RT.ZS"/>
    <n v="3.8530236469819101"/>
    <n v="11242266333.924591"/>
    <n v="433167180.30280077"/>
    <n v="6497507704.5420113"/>
  </r>
  <r>
    <s v="Cameroon"/>
    <s v="CMR"/>
    <x v="4"/>
    <s v="Total natural resources rents (% of GDP)"/>
    <s v="NY.GDP.TOTL.RT.ZS"/>
    <n v="10.745107707820814"/>
    <n v="22493301699.367199"/>
    <n v="2416929494.6420951"/>
    <n v="36253942419.631424"/>
  </r>
  <r>
    <s v="Canada"/>
    <s v="CAN"/>
    <x v="6"/>
    <s v="Total natural resources rents (% of GDP)"/>
    <s v="NY.GDP.TOTL.RT.ZS"/>
    <n v="4.2199689855565765"/>
    <n v="1577040082217.7634"/>
    <n v="66550602359.385544"/>
    <n v="998259035390.7832"/>
  </r>
  <r>
    <s v="Cayman Islands"/>
    <s v="CYM"/>
    <x v="5"/>
    <s v="Total natural resources rents (% of GDP)"/>
    <s v="NY.GDP.TOTL.RT.ZS"/>
    <s v="NA"/>
    <s v="NA"/>
    <m/>
    <m/>
  </r>
  <r>
    <s v="Central African Republic"/>
    <s v="CAF"/>
    <x v="4"/>
    <s v="Total natural resources rents (% of GDP)"/>
    <s v="NY.GDP.TOTL.RT.ZS"/>
    <n v="8.3583344009640026"/>
    <n v="1986014759.1978452"/>
    <n v="165997754.82625589"/>
    <n v="2489966322.3938384"/>
  </r>
  <r>
    <s v="Chad"/>
    <s v="TCD"/>
    <x v="4"/>
    <s v="Total natural resources rents (% of GDP)"/>
    <s v="NY.GDP.TOTL.RT.ZS"/>
    <n v="33.352404414425806"/>
    <n v="10657705072.328405"/>
    <n v="3554600897.019742"/>
    <n v="53319013455.296127"/>
  </r>
  <r>
    <s v="Channel Islands"/>
    <s v="CHI"/>
    <x v="1"/>
    <s v="Total natural resources rents (% of GDP)"/>
    <s v="NY.GDP.TOTL.RT.ZS"/>
    <s v="NA"/>
    <s v="NA"/>
    <m/>
    <m/>
  </r>
  <r>
    <s v="Chile"/>
    <s v="CHL"/>
    <x v="5"/>
    <s v="Total natural resources rents (% of GDP)"/>
    <s v="NY.GDP.TOTL.RT.ZS"/>
    <n v="19.585290270676026"/>
    <n v="217556229881.15268"/>
    <n v="42609019124.162964"/>
    <n v="639135286862.44446"/>
  </r>
  <r>
    <s v="China"/>
    <s v="CHN"/>
    <x v="3"/>
    <s v="Total natural resources rents (% of GDP)"/>
    <s v="NY.GDP.TOTL.RT.ZS"/>
    <n v="6.9540526922678172"/>
    <n v="5930529470799.1748"/>
    <n v="412412144329.84637"/>
    <n v="6186182164947.6953"/>
  </r>
  <r>
    <s v="Colombia"/>
    <s v="COL"/>
    <x v="5"/>
    <s v="Total natural resources rents (% of GDP)"/>
    <s v="NY.GDP.TOTL.RT.ZS"/>
    <n v="9.6215000243984523"/>
    <n v="287000940839.27222"/>
    <n v="27613795592.874363"/>
    <n v="414206933893.11542"/>
  </r>
  <r>
    <s v="Comoros"/>
    <s v="COM"/>
    <x v="4"/>
    <s v="Total natural resources rents (% of GDP)"/>
    <s v="NY.GDP.TOTL.RT.ZS"/>
    <n v="2.88670835096694"/>
    <n v="543376206.06227398"/>
    <n v="15685686.317566991"/>
    <n v="235285294.76350486"/>
  </r>
  <r>
    <s v="Congo, Dem. Rep."/>
    <s v="ZAR"/>
    <x v="4"/>
    <s v="Total natural resources rents (% of GDP)"/>
    <s v="NY.GDP.TOTL.RT.ZS"/>
    <n v="58.464749500360192"/>
    <n v="13138775753.202591"/>
    <n v="7681552331.5239582"/>
    <n v="115223284972.85937"/>
  </r>
  <r>
    <s v="Congo, Rep."/>
    <s v="COG"/>
    <x v="4"/>
    <s v="Total natural resources rents (% of GDP)"/>
    <s v="NY.GDP.TOTL.RT.ZS"/>
    <n v="66.620866568849308"/>
    <n v="12007880067.384727"/>
    <n v="7999753757.4398327"/>
    <n v="119996306361.59749"/>
  </r>
  <r>
    <s v="Costa Rica"/>
    <s v="CRI"/>
    <x v="5"/>
    <s v="Total natural resources rents (% of GDP)"/>
    <s v="NY.GDP.TOTL.RT.ZS"/>
    <n v="1.2333678547450739"/>
    <n v="36298327620.413033"/>
    <n v="447691904.68022686"/>
    <n v="6715378570.2034025"/>
  </r>
  <r>
    <s v="Cote d'Ivoire"/>
    <s v="CIV"/>
    <x v="4"/>
    <s v="Total natural resources rents (% of GDP)"/>
    <s v="NY.GDP.TOTL.RT.ZS"/>
    <n v="7.8162478177840571"/>
    <n v="22920779597.555038"/>
    <n v="1791544935.1129889"/>
    <n v="26873174026.694836"/>
  </r>
  <r>
    <s v="Croatia"/>
    <s v="HRV"/>
    <x v="1"/>
    <s v="Total natural resources rents (% of GDP)"/>
    <s v="NY.GDP.TOTL.RT.ZS"/>
    <n v="1.5601920692949252"/>
    <n v="58873839434.983353"/>
    <n v="918544973.75403845"/>
    <n v="13778174606.310577"/>
  </r>
  <r>
    <s v="Cuba"/>
    <s v="CUB"/>
    <x v="5"/>
    <s v="Total natural resources rents (% of GDP)"/>
    <s v="NY.GDP.TOTL.RT.ZS"/>
    <n v="4.7923796851755451"/>
    <n v="64328220000"/>
    <n v="3082852547.1150317"/>
    <n v="46242788206.725479"/>
  </r>
  <r>
    <s v="Curacao"/>
    <s v="CUW"/>
    <x v="5"/>
    <s v="Total natural resources rents (% of GDP)"/>
    <s v="NY.GDP.TOTL.RT.ZS"/>
    <s v="NA"/>
    <s v="NA"/>
    <m/>
    <m/>
  </r>
  <r>
    <s v="Cyprus"/>
    <s v="CYP"/>
    <x v="1"/>
    <s v="Total natural resources rents (% of GDP)"/>
    <s v="NY.GDP.TOTL.RT.ZS"/>
    <n v="9.0670855286385105E-3"/>
    <n v="23132450331.125828"/>
    <n v="2097439.0563930012"/>
    <n v="31461585.845895018"/>
  </r>
  <r>
    <s v="Czech Republic"/>
    <s v="CZE"/>
    <x v="1"/>
    <s v="Total natural resources rents (% of GDP)"/>
    <s v="NY.GDP.TOTL.RT.ZS"/>
    <n v="0.68868388210489795"/>
    <n v="198475392670.15704"/>
    <n v="1366868039.2637777"/>
    <n v="20503020588.956665"/>
  </r>
  <r>
    <s v="Denmark"/>
    <s v="DNK"/>
    <x v="1"/>
    <s v="Total natural resources rents (% of GDP)"/>
    <s v="NY.GDP.TOTL.RT.ZS"/>
    <n v="2.179902043787604"/>
    <n v="313176334519.57294"/>
    <n v="6826937316.8512735"/>
    <n v="102404059752.7691"/>
  </r>
  <r>
    <s v="Djibouti"/>
    <s v="DJI"/>
    <x v="2"/>
    <s v="Total natural resources rents (% of GDP)"/>
    <s v="NY.GDP.TOTL.RT.ZS"/>
    <s v="NA"/>
    <s v="NA"/>
    <m/>
    <m/>
  </r>
  <r>
    <s v="Dominica"/>
    <s v="DMA"/>
    <x v="5"/>
    <s v="Total natural resources rents (% of GDP)"/>
    <s v="NY.GDP.TOTL.RT.ZS"/>
    <n v="0.104071414999448"/>
    <n v="471851098.51851851"/>
    <n v="491062.11491866165"/>
    <n v="7365931.7237799251"/>
  </r>
  <r>
    <s v="Dominican Republic"/>
    <s v="DOM"/>
    <x v="5"/>
    <s v="Total natural resources rents (% of GDP)"/>
    <s v="NY.GDP.TOTL.RT.ZS"/>
    <n v="0.25106971577906301"/>
    <n v="51748279416.008934"/>
    <n v="129924258.050329"/>
    <n v="1948863870.754935"/>
  </r>
  <r>
    <s v="Ecuador"/>
    <s v="ECU"/>
    <x v="5"/>
    <s v="Total natural resources rents (% of GDP)"/>
    <s v="NY.GDP.TOTL.RT.ZS"/>
    <n v="18.632396913632199"/>
    <n v="67513698000"/>
    <n v="12579420182.430964"/>
    <n v="188691302736.46445"/>
  </r>
  <r>
    <s v="Egypt, Arab Rep."/>
    <s v="EGY"/>
    <x v="2"/>
    <s v="Total natural resources rents (% of GDP)"/>
    <s v="NY.GDP.TOTL.RT.ZS"/>
    <n v="12.054281438222398"/>
    <n v="218887812549.85132"/>
    <n v="26385352958.727764"/>
    <n v="395780294380.91644"/>
  </r>
  <r>
    <s v="El Salvador"/>
    <s v="SLV"/>
    <x v="5"/>
    <s v="Total natural resources rents (% of GDP)"/>
    <s v="NY.GDP.TOTL.RT.ZS"/>
    <n v="1.8217718161753"/>
    <n v="21418300000"/>
    <n v="390192552.90387428"/>
    <n v="5852888293.5581141"/>
  </r>
  <r>
    <s v="Equatorial Guinea"/>
    <s v="GNQ"/>
    <x v="4"/>
    <s v="Total natural resources rents (% of GDP)"/>
    <s v="NY.GDP.TOTL.RT.ZS"/>
    <n v="50.784970127055217"/>
    <n v="12261420852.354893"/>
    <n v="6226958917.0209513"/>
    <n v="93404383755.31427"/>
  </r>
  <r>
    <s v="Eritrea"/>
    <s v="ERI"/>
    <x v="4"/>
    <s v="Total natural resources rents (% of GDP)"/>
    <s v="NY.GDP.TOTL.RT.ZS"/>
    <n v="3.6287922286855641"/>
    <n v="2117039510.7019448"/>
    <n v="76822965.242555067"/>
    <n v="1152344478.6383259"/>
  </r>
  <r>
    <s v="Estonia"/>
    <s v="EST"/>
    <x v="1"/>
    <s v="Total natural resources rents (% of GDP)"/>
    <s v="NY.GDP.TOTL.RT.ZS"/>
    <n v="2.7532979706368903"/>
    <n v="19044699035.250462"/>
    <n v="524357312.05145437"/>
    <n v="7865359680.7718153"/>
  </r>
  <r>
    <s v="Ethiopia"/>
    <s v="ETH"/>
    <x v="4"/>
    <s v="Total natural resources rents (% of GDP)"/>
    <s v="NY.GDP.TOTL.RT.ZS"/>
    <n v="20.781973355549571"/>
    <n v="26288737405.418686"/>
    <n v="5463318403.1045046"/>
    <n v="81949776046.567566"/>
  </r>
  <r>
    <s v="Faeroe Islands"/>
    <s v="FRO"/>
    <x v="1"/>
    <s v="Total natural resources rents (% of GDP)"/>
    <s v="NY.GDP.TOTL.RT.ZS"/>
    <s v="NA"/>
    <s v="NA"/>
    <m/>
    <m/>
  </r>
  <r>
    <s v="Fiji"/>
    <s v="FJI"/>
    <x v="3"/>
    <s v="Total natural resources rents (% of GDP)"/>
    <s v="NY.GDP.TOTL.RT.ZS"/>
    <n v="2.707442111330074"/>
    <n v="3225095136.3186154"/>
    <n v="87317583.851148248"/>
    <n v="1309763757.7672238"/>
  </r>
  <r>
    <s v="Finland"/>
    <s v="FIN"/>
    <x v="1"/>
    <s v="Total natural resources rents (% of GDP)"/>
    <s v="NY.GDP.TOTL.RT.ZS"/>
    <n v="1.4062757572130411"/>
    <n v="236706436522.74377"/>
    <n v="3328745232.5822215"/>
    <n v="49931178488.733322"/>
  </r>
  <r>
    <s v="France"/>
    <s v="FRA"/>
    <x v="1"/>
    <s v="Total natural resources rents (% of GDP)"/>
    <s v="NY.GDP.TOTL.RT.ZS"/>
    <n v="0.17179972360364079"/>
    <n v="2565039332950.9653"/>
    <n v="4406730484.3344297"/>
    <n v="66100957265.016449"/>
  </r>
  <r>
    <s v="French Polynesia"/>
    <s v="PYF"/>
    <x v="3"/>
    <s v="Total natural resources rents (% of GDP)"/>
    <s v="NY.GDP.TOTL.RT.ZS"/>
    <s v="NA"/>
    <s v="NA"/>
    <m/>
    <m/>
  </r>
  <r>
    <s v="Gabon"/>
    <s v="GAB"/>
    <x v="4"/>
    <s v="Total natural resources rents (% of GDP)"/>
    <s v="NY.GDP.TOTL.RT.ZS"/>
    <n v="45.873495211593671"/>
    <n v="14507032805.982397"/>
    <n v="6654882999.5966587"/>
    <n v="99823244993.949875"/>
  </r>
  <r>
    <s v="Gambia, The"/>
    <s v="GMB"/>
    <x v="4"/>
    <s v="Total natural resources rents (% of GDP)"/>
    <s v="NY.GDP.TOTL.RT.ZS"/>
    <n v="4.8300592502575501"/>
    <n v="951805801.35401237"/>
    <n v="45972784.152787477"/>
    <n v="689591762.29181218"/>
  </r>
  <r>
    <s v="Georgia"/>
    <s v="GEO"/>
    <x v="1"/>
    <s v="Total natural resources rents (% of GDP)"/>
    <s v="NY.GDP.TOTL.RT.ZS"/>
    <n v="1.0642208615963804"/>
    <n v="11638236642.847595"/>
    <n v="123856542.27513833"/>
    <n v="1857848134.127075"/>
  </r>
  <r>
    <s v="Germany"/>
    <s v="DEU"/>
    <x v="1"/>
    <s v="Total natural resources rents (% of GDP)"/>
    <s v="NY.GDP.TOTL.RT.ZS"/>
    <n v="0.20469106127673711"/>
    <n v="3304439018398.4565"/>
    <n v="6763891296.0023947"/>
    <n v="101458369440.03592"/>
  </r>
  <r>
    <s v="Ghana"/>
    <s v="GHA"/>
    <x v="4"/>
    <s v="Total natural resources rents (% of GDP)"/>
    <s v="NY.GDP.TOTL.RT.ZS"/>
    <n v="13.037172639334015"/>
    <n v="32174210792.963085"/>
    <n v="4194607406.4218354"/>
    <n v="62919111096.32753"/>
  </r>
  <r>
    <s v="Greece"/>
    <s v="GRC"/>
    <x v="1"/>
    <s v="Total natural resources rents (% of GDP)"/>
    <s v="NY.GDP.TOTL.RT.ZS"/>
    <n v="0.21388427032780627"/>
    <n v="294222876630.78204"/>
    <n v="629296452.81922984"/>
    <n v="9439446792.2884483"/>
  </r>
  <r>
    <s v="Greenland"/>
    <s v="GRL"/>
    <x v="1"/>
    <s v="Total natural resources rents (% of GDP)"/>
    <s v="NY.GDP.TOTL.RT.ZS"/>
    <s v="NA"/>
    <s v="NA"/>
    <m/>
    <m/>
  </r>
  <r>
    <s v="Grenada"/>
    <s v="GRD"/>
    <x v="5"/>
    <s v="Total natural resources rents (% of GDP)"/>
    <s v="NY.GDP.TOTL.RT.ZS"/>
    <n v="0"/>
    <n v="783602099.12405074"/>
    <n v="0"/>
    <n v="0"/>
  </r>
  <r>
    <s v="Guam"/>
    <s v="GUM"/>
    <x v="3"/>
    <s v="Total natural resources rents (% of GDP)"/>
    <s v="NY.GDP.TOTL.RT.ZS"/>
    <s v="NA"/>
    <s v="NA"/>
    <m/>
    <m/>
  </r>
  <r>
    <s v="Guatemala"/>
    <s v="GTM"/>
    <x v="5"/>
    <s v="Total natural resources rents (% of GDP)"/>
    <s v="NY.GDP.TOTL.RT.ZS"/>
    <n v="4.4390390696317805"/>
    <n v="41338161799.108192"/>
    <n v="1835017152.9300125"/>
    <n v="27525257293.950188"/>
  </r>
  <r>
    <s v="Guinea"/>
    <s v="GIN"/>
    <x v="4"/>
    <s v="Total natural resources rents (% of GDP)"/>
    <s v="NY.GDP.TOTL.RT.ZS"/>
    <n v="28.166500968960101"/>
    <n v="4735956475.8380318"/>
    <n v="1333953226.6564479"/>
    <n v="20009298399.846718"/>
  </r>
  <r>
    <s v="Guinea-Bissau"/>
    <s v="GNB"/>
    <x v="4"/>
    <s v="Total natural resources rents (% of GDP)"/>
    <s v="NY.GDP.TOTL.RT.ZS"/>
    <n v="17.0026561898535"/>
    <n v="835390892.98831928"/>
    <n v="142038641.37615088"/>
    <n v="2130579620.6422632"/>
  </r>
  <r>
    <s v="Guyana"/>
    <s v="GUY"/>
    <x v="5"/>
    <s v="Total natural resources rents (% of GDP)"/>
    <s v="NY.GDP.TOTL.RT.ZS"/>
    <n v="17.929673342616518"/>
    <n v="2259288026.4197154"/>
    <n v="405082963.00590253"/>
    <n v="6076244445.0885382"/>
  </r>
  <r>
    <s v="Haiti"/>
    <s v="HTI"/>
    <x v="5"/>
    <s v="Total natural resources rents (% of GDP)"/>
    <s v="NY.GDP.TOTL.RT.ZS"/>
    <n v="2.4268662507487799"/>
    <n v="6634579143.3611231"/>
    <n v="161012362.10944861"/>
    <n v="2415185431.6417294"/>
  </r>
  <r>
    <s v="Honduras"/>
    <s v="HND"/>
    <x v="5"/>
    <s v="Total natural resources rents (% of GDP)"/>
    <s v="NY.GDP.TOTL.RT.ZS"/>
    <n v="4.5641490371192956"/>
    <n v="15729644901.145912"/>
    <n v="717924436.29793561"/>
    <n v="10768866544.469034"/>
  </r>
  <r>
    <s v="Hong Kong SAR, China"/>
    <s v="HKG"/>
    <x v="3"/>
    <s v="Total natural resources rents (% of GDP)"/>
    <s v="NY.GDP.TOTL.RT.ZS"/>
    <n v="1.3705779913540299E-3"/>
    <n v="228695747309.89035"/>
    <n v="3134453.5797919827"/>
    <n v="47016803.696879737"/>
  </r>
  <r>
    <s v="Hungary"/>
    <s v="HUN"/>
    <x v="1"/>
    <s v="Total natural resources rents (% of GDP)"/>
    <s v="NY.GDP.TOTL.RT.ZS"/>
    <n v="0.85933875593828812"/>
    <n v="127503279792.24777"/>
    <n v="1095685098.3472166"/>
    <n v="16435276475.208248"/>
  </r>
  <r>
    <s v="Iceland"/>
    <s v="ISL"/>
    <x v="1"/>
    <s v="Total natural resources rents (% of GDP)"/>
    <s v="NY.GDP.TOTL.RT.ZS"/>
    <n v="0"/>
    <n v="12564891657.722513"/>
    <n v="0"/>
    <n v="0"/>
  </r>
  <r>
    <s v="India"/>
    <s v="IND"/>
    <x v="0"/>
    <s v="Total natural resources rents (% of GDP)"/>
    <s v="NY.GDP.TOTL.RT.ZS"/>
    <n v="6.2115324690822051"/>
    <n v="1708450861364.1714"/>
    <n v="106120979971.95012"/>
    <n v="1591814699579.2517"/>
  </r>
  <r>
    <s v="Indonesia"/>
    <s v="IDN"/>
    <x v="3"/>
    <s v="Total natural resources rents (% of GDP)"/>
    <s v="NY.GDP.TOTL.RT.ZS"/>
    <n v="8.4461326772820513"/>
    <n v="709190822690.73877"/>
    <n v="59899197819.567902"/>
    <n v="898487967293.51855"/>
  </r>
  <r>
    <s v="Iran, Islamic Rep."/>
    <s v="IRN"/>
    <x v="2"/>
    <s v="Total natural resources rents (% of GDP)"/>
    <s v="NY.GDP.TOTL.RT.ZS"/>
    <n v="30.84889939735303"/>
    <n v="422567967404.51208"/>
    <n v="130357567150.05748"/>
    <n v="1955363507250.8623"/>
  </r>
  <r>
    <s v="Iraq"/>
    <s v="IRQ"/>
    <x v="2"/>
    <s v="Total natural resources rents (% of GDP)"/>
    <s v="NY.GDP.TOTL.RT.ZS"/>
    <n v="42.398419523104579"/>
    <n v="142814704615.38461"/>
    <n v="60551177603.513367"/>
    <n v="908267664052.70044"/>
  </r>
  <r>
    <s v="Ireland"/>
    <s v="IRL"/>
    <x v="1"/>
    <s v="Total natural resources rents (% of GDP)"/>
    <s v="NY.GDP.TOTL.RT.ZS"/>
    <n v="0.19794720844202884"/>
    <n v="209387190854.47037"/>
    <n v="414476099.13160717"/>
    <n v="6217141486.9741077"/>
  </r>
  <r>
    <s v="Isle of Man"/>
    <s v="IMY"/>
    <x v="1"/>
    <s v="Total natural resources rents (% of GDP)"/>
    <s v="NY.GDP.TOTL.RT.ZS"/>
    <s v="NA"/>
    <s v="NA"/>
    <m/>
    <m/>
  </r>
  <r>
    <s v="Israel"/>
    <s v="ISR"/>
    <x v="2"/>
    <s v="Total natural resources rents (% of GDP)"/>
    <s v="NY.GDP.TOTL.RT.ZS"/>
    <n v="0.29524141577206842"/>
    <n v="231674400561.64752"/>
    <n v="683998780.19966102"/>
    <n v="10259981702.994915"/>
  </r>
  <r>
    <s v="Italy"/>
    <s v="ITA"/>
    <x v="1"/>
    <s v="Total natural resources rents (% of GDP)"/>
    <s v="NY.GDP.TOTL.RT.ZS"/>
    <n v="0.19358966210977449"/>
    <n v="2055355252804.7266"/>
    <n v="3978955289.0601716"/>
    <n v="59684329335.902573"/>
  </r>
  <r>
    <s v="Jamaica"/>
    <s v="JAM"/>
    <x v="5"/>
    <s v="Total natural resources rents (% of GDP)"/>
    <s v="NY.GDP.TOTL.RT.ZS"/>
    <n v="1.8485663604946341"/>
    <n v="13202998397.802702"/>
    <n v="244066186.95842627"/>
    <n v="3660992804.3763938"/>
  </r>
  <r>
    <s v="Japan"/>
    <s v="JPN"/>
    <x v="3"/>
    <s v="Total natural resources rents (% of GDP)"/>
    <s v="NY.GDP.TOTL.RT.ZS"/>
    <n v="2.9657280694132E-2"/>
    <n v="5495379357484.6201"/>
    <n v="1629780081.2566016"/>
    <n v="24446701218.849022"/>
  </r>
  <r>
    <s v="Jordan"/>
    <s v="JOR"/>
    <x v="2"/>
    <s v="Total natural resources rents (% of GDP)"/>
    <s v="NY.GDP.TOTL.RT.ZS"/>
    <n v="1.8160744724650395"/>
    <n v="26425379366.613239"/>
    <n v="479904568.92910677"/>
    <n v="7198568533.9366016"/>
  </r>
  <r>
    <s v="Kazakhstan"/>
    <s v="KAZ"/>
    <x v="1"/>
    <s v="Total natural resources rents (% of GDP)"/>
    <s v="NY.GDP.TOTL.RT.ZS"/>
    <n v="35.177197231767316"/>
    <n v="148052371903.63083"/>
    <n v="52080674870.849876"/>
    <n v="781210123062.74817"/>
  </r>
  <r>
    <s v="Kenya"/>
    <s v="KEN"/>
    <x v="4"/>
    <s v="Total natural resources rents (% of GDP)"/>
    <s v="NY.GDP.TOTL.RT.ZS"/>
    <n v="4.4081196889961323"/>
    <n v="32198151217.221405"/>
    <n v="1419333043.2990847"/>
    <n v="21289995649.486271"/>
  </r>
  <r>
    <s v="Kiribati"/>
    <s v="KIR"/>
    <x v="3"/>
    <s v="Total natural resources rents (% of GDP)"/>
    <s v="NY.GDP.TOTL.RT.ZS"/>
    <n v="9.8027193099277807E-2"/>
    <n v="150431113.55714548"/>
    <n v="147463.39816805688"/>
    <n v="2211950.9725208534"/>
  </r>
  <r>
    <s v="Korea, Dem. Rep."/>
    <s v="PRK"/>
    <x v="3"/>
    <s v="Total natural resources rents (% of GDP)"/>
    <s v="NY.GDP.TOTL.RT.ZS"/>
    <s v="NA"/>
    <s v="NA"/>
    <m/>
    <m/>
  </r>
  <r>
    <s v="Korea, Rep."/>
    <s v="KOR"/>
    <x v="3"/>
    <s v="Total natural resources rents (% of GDP)"/>
    <s v="NY.GDP.TOTL.RT.ZS"/>
    <n v="6.0571388168145911E-2"/>
    <n v="1014890141871.1439"/>
    <n v="614733047.31301725"/>
    <n v="9220995709.6952591"/>
  </r>
  <r>
    <s v="Kosovo"/>
    <s v="KSV"/>
    <x v="1"/>
    <s v="Total natural resources rents (% of GDP)"/>
    <s v="NY.GDP.TOTL.RT.ZS"/>
    <n v="3.0851996056330449"/>
    <n v="5750799436.8984728"/>
    <n v="177423641.54793903"/>
    <n v="2661354623.2190857"/>
  </r>
  <r>
    <s v="Kuwait"/>
    <s v="KWT"/>
    <x v="2"/>
    <s v="Total natural resources rents (% of GDP)"/>
    <s v="NY.GDP.TOTL.RT.ZS"/>
    <n v="51.74433657181936"/>
    <n v="119934674734.61612"/>
    <n v="62059401760.996567"/>
    <n v="930891026414.94849"/>
  </r>
  <r>
    <s v="Kyrgyz Republic"/>
    <s v="KGZ"/>
    <x v="1"/>
    <s v="Total natural resources rents (% of GDP)"/>
    <s v="NY.GDP.TOTL.RT.ZS"/>
    <n v="12.041301011916627"/>
    <n v="4794361821.2061129"/>
    <n v="577303538.49183607"/>
    <n v="8659553077.3775406"/>
  </r>
  <r>
    <s v="Lao PDR"/>
    <s v="LAO"/>
    <x v="3"/>
    <s v="Total natural resources rents (% of GDP)"/>
    <s v="NY.GDP.TOTL.RT.ZS"/>
    <n v="18.547148443334898"/>
    <n v="7181441151.897891"/>
    <n v="1331952550.8132415"/>
    <n v="19979288262.198624"/>
  </r>
  <r>
    <s v="Latvia"/>
    <s v="LVA"/>
    <x v="1"/>
    <s v="Total natural resources rents (% of GDP)"/>
    <s v="NY.GDP.TOTL.RT.ZS"/>
    <n v="2.4226678301431499"/>
    <n v="24009680459.986805"/>
    <n v="581674804.62426615"/>
    <n v="8725122069.3639927"/>
  </r>
  <r>
    <s v="Lebanon"/>
    <s v="LBN"/>
    <x v="2"/>
    <s v="Total natural resources rents (% of GDP)"/>
    <s v="NY.GDP.TOTL.RT.ZS"/>
    <n v="3.4092003361093802E-3"/>
    <n v="37124378109.452736"/>
    <n v="1265644.42328598"/>
    <n v="18984666.3492897"/>
  </r>
  <r>
    <s v="Lesotho"/>
    <s v="LSO"/>
    <x v="4"/>
    <s v="Total natural resources rents (% of GDP)"/>
    <s v="NY.GDP.TOTL.RT.ZS"/>
    <n v="4.6855366800823699"/>
    <n v="2203835214.2934952"/>
    <n v="103261507.33429362"/>
    <n v="1548922610.0144043"/>
  </r>
  <r>
    <s v="Liberia"/>
    <s v="LBR"/>
    <x v="4"/>
    <s v="Total natural resources rents (% of GDP)"/>
    <s v="NY.GDP.TOTL.RT.ZS"/>
    <n v="32.038040329557468"/>
    <n v="1292696475.9587305"/>
    <n v="414154618.30642617"/>
    <n v="6212319274.5963926"/>
  </r>
  <r>
    <s v="Libya"/>
    <s v="LBY"/>
    <x v="2"/>
    <s v="Total natural resources rents (% of GDP)"/>
    <s v="NY.GDP.TOTL.RT.ZS"/>
    <s v="NA"/>
    <s v="NA"/>
    <m/>
    <m/>
  </r>
  <r>
    <s v="Liechtenstein"/>
    <s v="LIE"/>
    <x v="1"/>
    <s v="Total natural resources rents (% of GDP)"/>
    <s v="NY.GDP.TOTL.RT.ZS"/>
    <s v="NA"/>
    <s v="NA"/>
    <m/>
    <m/>
  </r>
  <r>
    <s v="Lithuania"/>
    <s v="LTU"/>
    <x v="1"/>
    <s v="Total natural resources rents (% of GDP)"/>
    <s v="NY.GDP.TOTL.RT.ZS"/>
    <n v="1.09520763042616"/>
    <n v="36306384146.107506"/>
    <n v="397630289.50000304"/>
    <n v="5964454342.5000458"/>
  </r>
  <r>
    <s v="Luxembourg"/>
    <s v="LUX"/>
    <x v="1"/>
    <s v="Total natural resources rents (% of GDP)"/>
    <s v="NY.GDP.TOTL.RT.ZS"/>
    <n v="0.11240079787450849"/>
    <n v="52053324635.073013"/>
    <n v="58508352.210030153"/>
    <n v="877625283.15045226"/>
  </r>
  <r>
    <s v="Macao SAR, China"/>
    <s v="MAC"/>
    <x v="3"/>
    <s v="Total natural resources rents (% of GDP)"/>
    <s v="NY.GDP.TOTL.RT.ZS"/>
    <n v="9.8302107135367096E-4"/>
    <n v="28359706123.095051"/>
    <n v="278781.88696400158"/>
    <n v="4181728.3044600235"/>
  </r>
  <r>
    <s v="Macedonia, FYR"/>
    <s v="MKD"/>
    <x v="1"/>
    <s v="Total natural resources rents (% of GDP)"/>
    <s v="NY.GDP.TOTL.RT.ZS"/>
    <n v="4.5442089095581251"/>
    <n v="9338665630.7617722"/>
    <n v="424368475.62691891"/>
    <n v="6365527134.4037838"/>
  </r>
  <r>
    <s v="Madagascar"/>
    <s v="MDG"/>
    <x v="4"/>
    <s v="Total natural resources rents (% of GDP)"/>
    <s v="NY.GDP.TOTL.RT.ZS"/>
    <n v="7.8309690787135313"/>
    <n v="8837041787.4938164"/>
    <n v="692026009.85163426"/>
    <n v="10380390147.774513"/>
  </r>
  <r>
    <s v="Malawi"/>
    <s v="MWI"/>
    <x v="4"/>
    <s v="Total natural resources rents (% of GDP)"/>
    <s v="NY.GDP.TOTL.RT.ZS"/>
    <n v="7.4819297192362377"/>
    <n v="5398616984.591485"/>
    <n v="403920728.59788555"/>
    <n v="6058810928.9682837"/>
  </r>
  <r>
    <s v="Malaysia"/>
    <s v="MYS"/>
    <x v="3"/>
    <s v="Total natural resources rents (% of GDP)"/>
    <s v="NY.GDP.TOTL.RT.ZS"/>
    <n v="10.770456989595386"/>
    <n v="247533525517.69818"/>
    <n v="26660491900.712803"/>
    <n v="399907378510.69202"/>
  </r>
  <r>
    <s v="Maldives"/>
    <s v="MDV"/>
    <x v="0"/>
    <s v="Total natural resources rents (% of GDP)"/>
    <s v="NY.GDP.TOTL.RT.ZS"/>
    <n v="5.43040478016142E-2"/>
    <n v="2134104883.7013984"/>
    <n v="1158905.3361817906"/>
    <n v="17383580.042726859"/>
  </r>
  <r>
    <s v="Mali"/>
    <s v="MLI"/>
    <x v="4"/>
    <s v="Total natural resources rents (% of GDP)"/>
    <s v="NY.GDP.TOTL.RT.ZS"/>
    <n v="14.29852420850216"/>
    <n v="9422267259.989399"/>
    <n v="1347245165.1593575"/>
    <n v="20208677477.390362"/>
  </r>
  <r>
    <s v="Malta"/>
    <s v="MLT"/>
    <x v="2"/>
    <s v="Total natural resources rents (% of GDP)"/>
    <s v="NY.GDP.TOTL.RT.ZS"/>
    <n v="0"/>
    <n v="8163841059.6026487"/>
    <n v="0"/>
    <n v="0"/>
  </r>
  <r>
    <s v="Marshall Islands"/>
    <s v="MHL"/>
    <x v="3"/>
    <s v="Total natural resources rents (% of GDP)"/>
    <s v="NY.GDP.TOTL.RT.ZS"/>
    <n v="0"/>
    <n v="163200000"/>
    <n v="0"/>
    <n v="0"/>
  </r>
  <r>
    <s v="Mauritania"/>
    <s v="MRT"/>
    <x v="4"/>
    <s v="Total natural resources rents (% of GDP)"/>
    <s v="NY.GDP.TOTL.RT.ZS"/>
    <n v="54.392880449073836"/>
    <n v="3671380305.4127717"/>
    <n v="1996969500.3540106"/>
    <n v="29954542505.310158"/>
  </r>
  <r>
    <s v="Mauritius"/>
    <s v="MUS"/>
    <x v="4"/>
    <s v="Total natural resources rents (% of GDP)"/>
    <s v="NY.GDP.TOTL.RT.ZS"/>
    <n v="7.3861274748189803E-3"/>
    <n v="9718331362.6382179"/>
    <n v="717808.34286977118"/>
    <n v="10767125.143046567"/>
  </r>
  <r>
    <s v="Mexico"/>
    <s v="MEX"/>
    <x v="5"/>
    <s v="Total natural resources rents (% of GDP)"/>
    <s v="NY.GDP.TOTL.RT.ZS"/>
    <n v="7.5913599436322112"/>
    <n v="1047368841686.0562"/>
    <n v="79509538709.839935"/>
    <n v="1192643080647.5991"/>
  </r>
  <r>
    <s v="Micronesia, Fed. Sts."/>
    <s v="FSM"/>
    <x v="3"/>
    <s v="Total natural resources rents (% of GDP)"/>
    <s v="NY.GDP.TOTL.RT.ZS"/>
    <n v="4.1721606704520998E-2"/>
    <n v="294117230.497109"/>
    <n v="122710.4341582333"/>
    <n v="1840656.5123734996"/>
  </r>
  <r>
    <s v="Moldova"/>
    <s v="MDA"/>
    <x v="1"/>
    <s v="Total natural resources rents (% of GDP)"/>
    <s v="NY.GDP.TOTL.RT.ZS"/>
    <n v="0.46191784609207798"/>
    <n v="5811622393.9868851"/>
    <n v="26844920.985309076"/>
    <n v="402673814.77963614"/>
  </r>
  <r>
    <s v="Monaco"/>
    <s v="MCO"/>
    <x v="1"/>
    <s v="Total natural resources rents (% of GDP)"/>
    <s v="NY.GDP.TOTL.RT.ZS"/>
    <n v="0"/>
    <n v="5350993377.4834433"/>
    <n v="0"/>
    <n v="0"/>
  </r>
  <r>
    <s v="Mongolia"/>
    <s v="MNG"/>
    <x v="3"/>
    <s v="Total natural resources rents (% of GDP)"/>
    <s v="NY.GDP.TOTL.RT.ZS"/>
    <n v="41.593239573240091"/>
    <n v="6200357070.1147966"/>
    <n v="2578929370.5691776"/>
    <n v="38683940558.537666"/>
  </r>
  <r>
    <s v="Montenegro"/>
    <s v="MNE"/>
    <x v="1"/>
    <s v="Total natural resources rents (% of GDP)"/>
    <s v="NY.GDP.TOTL.RT.ZS"/>
    <n v="1.4059501547408735"/>
    <n v="4114780573.5000005"/>
    <n v="57851763.840370655"/>
    <n v="867776457.60555983"/>
  </r>
  <r>
    <s v="Morocco"/>
    <s v="MAR"/>
    <x v="2"/>
    <s v="Total natural resources rents (% of GDP)"/>
    <s v="NY.GDP.TOTL.RT.ZS"/>
    <n v="3.0324095557596298"/>
    <n v="90770671431.669601"/>
    <n v="2752538514.3211255"/>
    <n v="41288077714.816879"/>
  </r>
  <r>
    <s v="Mozambique"/>
    <s v="MOZ"/>
    <x v="4"/>
    <s v="Total natural resources rents (% of GDP)"/>
    <s v="NY.GDP.TOTL.RT.ZS"/>
    <n v="15.832568183424195"/>
    <n v="9274448731.9161205"/>
    <n v="1468383419.1173403"/>
    <n v="22025751286.760105"/>
  </r>
  <r>
    <s v="Myanmar"/>
    <s v="MMR"/>
    <x v="3"/>
    <s v="Total natural resources rents (% of GDP)"/>
    <s v="NY.GDP.TOTL.RT.ZS"/>
    <s v="NA"/>
    <s v="NA"/>
    <m/>
    <m/>
  </r>
  <r>
    <s v="Namibia"/>
    <s v="NAM"/>
    <x v="4"/>
    <s v="Total natural resources rents (% of GDP)"/>
    <s v="NY.GDP.TOTL.RT.ZS"/>
    <n v="2.9151173803852481"/>
    <n v="11065912279.381615"/>
    <n v="322584332.15443879"/>
    <n v="4838764982.3165817"/>
  </r>
  <r>
    <s v="Nepal"/>
    <s v="NPL"/>
    <x v="0"/>
    <s v="Total natural resources rents (% of GDP)"/>
    <s v="NY.GDP.TOTL.RT.ZS"/>
    <n v="6.8045074054451584"/>
    <n v="16010389261.744967"/>
    <n v="1089428122.9560325"/>
    <n v="16341421844.340488"/>
  </r>
  <r>
    <s v="Netherlands"/>
    <s v="NLD"/>
    <x v="1"/>
    <s v="Total natural resources rents (% of GDP)"/>
    <s v="NY.GDP.TOTL.RT.ZS"/>
    <n v="1.2685758853300086"/>
    <n v="777157702271.34741"/>
    <n v="9858835201.9990978"/>
    <n v="147882528029.98648"/>
  </r>
  <r>
    <s v="New Caledonia"/>
    <s v="NCL"/>
    <x v="3"/>
    <s v="Total natural resources rents (% of GDP)"/>
    <s v="NY.GDP.TOTL.RT.ZS"/>
    <s v="NA"/>
    <s v="NA"/>
    <m/>
    <m/>
  </r>
  <r>
    <s v="New Zealand"/>
    <s v="NZL"/>
    <x v="3"/>
    <s v="Total natural resources rents (% of GDP)"/>
    <s v="NY.GDP.TOTL.RT.ZS"/>
    <n v="2.4114971311467395"/>
    <n v="143246762589.92807"/>
    <n v="3454391570.3166966"/>
    <n v="51815873554.75045"/>
  </r>
  <r>
    <s v="Nicaragua"/>
    <s v="NIC"/>
    <x v="5"/>
    <s v="Total natural resources rents (% of GDP)"/>
    <s v="NY.GDP.TOTL.RT.ZS"/>
    <n v="5.8143134594674448"/>
    <n v="8586295846.083024"/>
    <n v="499234155.04849941"/>
    <n v="7488512325.7274914"/>
  </r>
  <r>
    <s v="Niger"/>
    <s v="NER"/>
    <x v="4"/>
    <s v="Total natural resources rents (% of GDP)"/>
    <s v="NY.GDP.TOTL.RT.ZS"/>
    <n v="10.776781140764871"/>
    <n v="5718589550.1634874"/>
    <n v="616279880.15976942"/>
    <n v="9244198202.3965416"/>
  </r>
  <r>
    <s v="Nigeria"/>
    <s v="NGA"/>
    <x v="4"/>
    <s v="Total natural resources rents (% of GDP)"/>
    <s v="NY.GDP.TOTL.RT.ZS"/>
    <n v="28.817217541476111"/>
    <n v="366351329633.24036"/>
    <n v="105572259626.5011"/>
    <n v="1583583894397.5166"/>
  </r>
  <r>
    <s v="Northern Mariana Islands"/>
    <s v="MNP"/>
    <x v="3"/>
    <s v="Total natural resources rents (% of GDP)"/>
    <s v="NY.GDP.TOTL.RT.ZS"/>
    <s v="NA"/>
    <s v="NA"/>
    <m/>
    <m/>
  </r>
  <r>
    <s v="Norway"/>
    <s v="NOR"/>
    <x v="1"/>
    <s v="Total natural resources rents (% of GDP)"/>
    <s v="NY.GDP.TOTL.RT.ZS"/>
    <n v="13.269909852591358"/>
    <n v="421236092715.23181"/>
    <n v="55897649769.889412"/>
    <n v="838464746548.34119"/>
  </r>
  <r>
    <s v="Oman"/>
    <s v="OMN"/>
    <x v="2"/>
    <s v="Total natural resources rents (% of GDP)"/>
    <s v="NY.GDP.TOTL.RT.ZS"/>
    <n v="41.966423995325499"/>
    <n v="58813004375.260063"/>
    <n v="24681714780.510975"/>
    <n v="370225721707.66461"/>
  </r>
  <r>
    <s v="Pakistan"/>
    <s v="PAK"/>
    <x v="0"/>
    <s v="Total natural resources rents (% of GDP)"/>
    <s v="NY.GDP.TOTL.RT.ZS"/>
    <n v="4.800312421374537"/>
    <n v="177406854514.88455"/>
    <n v="8516083273.6478567"/>
    <n v="127741249104.71785"/>
  </r>
  <r>
    <s v="Palau"/>
    <s v="PLW"/>
    <x v="3"/>
    <s v="Total natural resources rents (% of GDP)"/>
    <s v="NY.GDP.TOTL.RT.ZS"/>
    <n v="0"/>
    <n v="196543326.07973501"/>
    <n v="0"/>
    <n v="0"/>
  </r>
  <r>
    <s v="Panama"/>
    <s v="PAN"/>
    <x v="5"/>
    <s v="Total natural resources rents (% of GDP)"/>
    <s v="NY.GDP.TOTL.RT.ZS"/>
    <n v="0.83921556852052892"/>
    <n v="26589600000"/>
    <n v="223144062.80733454"/>
    <n v="3347160942.1100183"/>
  </r>
  <r>
    <s v="Papua New Guinea"/>
    <s v="PNG"/>
    <x v="3"/>
    <s v="Total natural resources rents (% of GDP)"/>
    <s v="NY.GDP.TOTL.RT.ZS"/>
    <n v="43.272197854213111"/>
    <n v="9480047958.8083858"/>
    <n v="4102225109.4098563"/>
    <n v="61533376641.147842"/>
  </r>
  <r>
    <s v="Paraguay"/>
    <s v="PRY"/>
    <x v="5"/>
    <s v="Total natural resources rents (% of GDP)"/>
    <s v="NY.GDP.TOTL.RT.ZS"/>
    <n v="5.5247212114197604"/>
    <n v="20028375553.907707"/>
    <n v="1106511912.5295491"/>
    <n v="16597678687.943237"/>
  </r>
  <r>
    <s v="Peru"/>
    <s v="PER"/>
    <x v="5"/>
    <s v="Total natural resources rents (% of GDP)"/>
    <s v="NY.GDP.TOTL.RT.ZS"/>
    <n v="11.974651784065495"/>
    <n v="157609814184.39719"/>
    <n v="18873226426.094227"/>
    <n v="283098396391.41339"/>
  </r>
  <r>
    <s v="Philippines"/>
    <s v="PHL"/>
    <x v="3"/>
    <s v="Total natural resources rents (% of GDP)"/>
    <s v="NY.GDP.TOTL.RT.ZS"/>
    <n v="3.8998833343997625"/>
    <n v="199589447424.07449"/>
    <n v="7783755597.3120575"/>
    <n v="116756333959.68086"/>
  </r>
  <r>
    <s v="Poland"/>
    <s v="POL"/>
    <x v="1"/>
    <s v="Total natural resources rents (% of GDP)"/>
    <s v="NY.GDP.TOTL.RT.ZS"/>
    <n v="1.8838175996695168"/>
    <n v="469736810690.71863"/>
    <n v="8848984711.9180393"/>
    <n v="132734770678.77058"/>
  </r>
  <r>
    <s v="Portugal"/>
    <s v="PRT"/>
    <x v="1"/>
    <s v="Total natural resources rents (% of GDP)"/>
    <s v="NY.GDP.TOTL.RT.ZS"/>
    <n v="0.60390561367040507"/>
    <n v="228939349298.93707"/>
    <n v="1382577582.3167782"/>
    <n v="20738663734.751671"/>
  </r>
  <r>
    <s v="Puerto Rico"/>
    <s v="PRI"/>
    <x v="5"/>
    <s v="Total natural resources rents (% of GDP)"/>
    <s v="NY.GDP.TOTL.RT.ZS"/>
    <n v="0"/>
    <n v="97147300000"/>
    <n v="0"/>
    <n v="0"/>
  </r>
  <r>
    <s v="Qatar"/>
    <s v="QAT"/>
    <x v="2"/>
    <s v="Total natural resources rents (% of GDP)"/>
    <s v="NY.GDP.TOTL.RT.ZS"/>
    <n v="28.428277125993141"/>
    <n v="127332413912.71945"/>
    <n v="36198411498.324532"/>
    <n v="542976172474.86798"/>
  </r>
  <r>
    <s v="Romania"/>
    <s v="ROM"/>
    <x v="1"/>
    <s v="Total natural resources rents (% of GDP)"/>
    <s v="NY.GDP.TOTL.RT.ZS"/>
    <n v="2.5192576391427188"/>
    <n v="164792252745.52377"/>
    <n v="4151541416.0069842"/>
    <n v="62273121240.104767"/>
  </r>
  <r>
    <s v="Russian Federation"/>
    <s v="RUS"/>
    <x v="1"/>
    <s v="Total natural resources rents (% of GDP)"/>
    <s v="NY.GDP.TOTL.RT.ZS"/>
    <n v="21.089819619488924"/>
    <n v="1524916698233.3093"/>
    <n v="321602181004.87122"/>
    <n v="4824032715073.0684"/>
  </r>
  <r>
    <s v="Rwanda"/>
    <s v="RWA"/>
    <x v="4"/>
    <s v="Total natural resources rents (% of GDP)"/>
    <s v="NY.GDP.TOTL.RT.ZS"/>
    <n v="6.6662313388374619"/>
    <n v="5624506157.4106731"/>
    <n v="374942592.12015301"/>
    <n v="5624138881.8022947"/>
  </r>
  <r>
    <s v="Samoa"/>
    <s v="WSM"/>
    <x v="3"/>
    <s v="Total natural resources rents (% of GDP)"/>
    <s v="NY.GDP.TOTL.RT.ZS"/>
    <n v="0.73142859258279902"/>
    <n v="572160378.28785348"/>
    <n v="4184944.6022272655"/>
    <n v="62774169.033408985"/>
  </r>
  <r>
    <s v="San Marino"/>
    <s v="SMR"/>
    <x v="1"/>
    <s v="Total natural resources rents (% of GDP)"/>
    <s v="NY.GDP.TOTL.RT.ZS"/>
    <s v="NA"/>
    <s v="NA"/>
    <m/>
    <m/>
  </r>
  <r>
    <s v="Sao Tome and Principe"/>
    <s v="STP"/>
    <x v="4"/>
    <s v="Total natural resources rents (% of GDP)"/>
    <s v="NY.GDP.TOTL.RT.ZS"/>
    <n v="3.20779196222714"/>
    <n v="201037916.58370778"/>
    <n v="6448878.1292010797"/>
    <n v="96733171.938016191"/>
  </r>
  <r>
    <s v="Saudi Arabia"/>
    <s v="SAU"/>
    <x v="2"/>
    <s v="Total natural resources rents (% of GDP)"/>
    <s v="NY.GDP.TOTL.RT.ZS"/>
    <n v="43.170977305830661"/>
    <n v="526811466666.66669"/>
    <n v="227429658719.18033"/>
    <n v="3411444880787.7051"/>
  </r>
  <r>
    <s v="Senegal"/>
    <s v="SEN"/>
    <x v="4"/>
    <s v="Total natural resources rents (% of GDP)"/>
    <s v="NY.GDP.TOTL.RT.ZS"/>
    <n v="4.265177969496972"/>
    <n v="12932427724.350752"/>
    <n v="551591058.22012687"/>
    <n v="8273865873.3019028"/>
  </r>
  <r>
    <s v="Serbia"/>
    <s v="SRB"/>
    <x v="1"/>
    <s v="Total natural resources rents (% of GDP)"/>
    <s v="NY.GDP.TOTL.RT.ZS"/>
    <n v="3.3887717521638168"/>
    <n v="36990001283.53228"/>
    <n v="1253506714.6213751"/>
    <n v="18802600719.320625"/>
  </r>
  <r>
    <s v="Seychelles"/>
    <s v="SYC"/>
    <x v="4"/>
    <s v="Total natural resources rents (% of GDP)"/>
    <s v="NY.GDP.TOTL.RT.ZS"/>
    <n v="0.11969352001283499"/>
    <n v="969973774.81817734"/>
    <n v="1160995.7542812461"/>
    <n v="17414936.314218692"/>
  </r>
  <r>
    <s v="Sierra Leone"/>
    <s v="SLE"/>
    <x v="4"/>
    <s v="Total natural resources rents (% of GDP)"/>
    <s v="NY.GDP.TOTL.RT.ZS"/>
    <n v="12.0347909620669"/>
    <n v="2575466372.2683105"/>
    <n v="309951994.2008189"/>
    <n v="4649279913.0122833"/>
  </r>
  <r>
    <s v="Singapore"/>
    <s v="SGP"/>
    <x v="3"/>
    <s v="Total natural resources rents (% of GDP)"/>
    <s v="NY.GDP.TOTL.RT.ZS"/>
    <n v="0"/>
    <n v="231697300468.76682"/>
    <n v="0"/>
    <n v="0"/>
  </r>
  <r>
    <s v="Sint Maarten (Dutch part)"/>
    <s v="SXM"/>
    <x v="5"/>
    <s v="Total natural resources rents (% of GDP)"/>
    <s v="NY.GDP.TOTL.RT.ZS"/>
    <s v="NA"/>
    <s v="NA"/>
    <m/>
    <m/>
  </r>
  <r>
    <s v="Slovak Republic"/>
    <s v="SVK"/>
    <x v="1"/>
    <s v="Total natural resources rents (% of GDP)"/>
    <s v="NY.GDP.TOTL.RT.ZS"/>
    <n v="0.67320232686749171"/>
    <n v="87077443708.609268"/>
    <n v="586207377.22308779"/>
    <n v="8793110658.3463173"/>
  </r>
  <r>
    <s v="Slovenia"/>
    <s v="SVN"/>
    <x v="1"/>
    <s v="Total natural resources rents (% of GDP)"/>
    <s v="NY.GDP.TOTL.RT.ZS"/>
    <n v="0.38181485734427278"/>
    <n v="46908328071.270065"/>
    <n v="179102965.90790325"/>
    <n v="2686544488.6185489"/>
  </r>
  <r>
    <s v="Solomon Islands"/>
    <s v="SLB"/>
    <x v="3"/>
    <s v="Total natural resources rents (% of GDP)"/>
    <s v="NY.GDP.TOTL.RT.ZS"/>
    <n v="26.2164407731088"/>
    <n v="678625481.68675137"/>
    <n v="177911447.47763148"/>
    <n v="2668671712.1644721"/>
  </r>
  <r>
    <s v="Somalia"/>
    <s v="SOM"/>
    <x v="4"/>
    <s v="Total natural resources rents (% of GDP)"/>
    <s v="NY.GDP.TOTL.RT.ZS"/>
    <s v="NA"/>
    <s v="NA"/>
    <m/>
    <m/>
  </r>
  <r>
    <s v="South Africa"/>
    <s v="ZAF"/>
    <x v="4"/>
    <s v="Total natural resources rents (% of GDP)"/>
    <s v="NY.GDP.TOTL.RT.ZS"/>
    <n v="8.0590150790411563"/>
    <n v="363240728680.38367"/>
    <n v="29273625097.571095"/>
    <n v="439104376463.56641"/>
  </r>
  <r>
    <s v="South Sudan"/>
    <s v="SSD"/>
    <x v="4"/>
    <s v="Total natural resources rents (% of GDP)"/>
    <s v="NY.GDP.TOTL.RT.ZS"/>
    <n v="0"/>
    <n v="15178973598.073324"/>
    <n v="0"/>
    <n v="0"/>
  </r>
  <r>
    <s v="Spain"/>
    <s v="ESP"/>
    <x v="1"/>
    <s v="Total natural resources rents (% of GDP)"/>
    <s v="NY.GDP.TOTL.RT.ZS"/>
    <n v="0.15310718804098844"/>
    <n v="1384844699967.0518"/>
    <n v="2120296778.8542163"/>
    <n v="31804451682.813244"/>
  </r>
  <r>
    <s v="Sri Lanka"/>
    <s v="LKA"/>
    <x v="0"/>
    <s v="Total natural resources rents (% of GDP)"/>
    <s v="NY.GDP.TOTL.RT.ZS"/>
    <n v="0.93654163372467725"/>
    <n v="49567521669.909782"/>
    <n v="464220477.24420649"/>
    <n v="6963307158.6630974"/>
  </r>
  <r>
    <s v="St. Kitts and Nevis"/>
    <s v="KNA"/>
    <x v="5"/>
    <s v="Total natural resources rents (% of GDP)"/>
    <s v="NY.GDP.TOTL.RT.ZS"/>
    <n v="0"/>
    <n v="675553707.77777779"/>
    <n v="0"/>
    <n v="0"/>
  </r>
  <r>
    <s v="St. Lucia"/>
    <s v="LCA"/>
    <x v="5"/>
    <s v="Total natural resources rents (% of GDP)"/>
    <s v="NY.GDP.TOTL.RT.ZS"/>
    <n v="5.32297482745685E-2"/>
    <n v="1208853571.1111109"/>
    <n v="643469.71291057637"/>
    <n v="9652045.6936586462"/>
  </r>
  <r>
    <s v="St. Martin (French part)"/>
    <s v="MAF"/>
    <x v="5"/>
    <s v="Total natural resources rents (% of GDP)"/>
    <s v="NY.GDP.TOTL.RT.ZS"/>
    <s v="NA"/>
    <s v="NA"/>
    <m/>
    <m/>
  </r>
  <r>
    <s v="St. Vincent and the Grenadines"/>
    <s v="VCT"/>
    <x v="5"/>
    <s v="Total natural resources rents (% of GDP)"/>
    <s v="NY.GDP.TOTL.RT.ZS"/>
    <n v="7.2068854936664803E-2"/>
    <n v="674762008.51851845"/>
    <n v="486293.25308693683"/>
    <n v="7294398.7963040527"/>
  </r>
  <r>
    <s v="Sudan"/>
    <s v="SDN"/>
    <x v="4"/>
    <s v="Total natural resources rents (% of GDP)"/>
    <s v="NY.GDP.TOTL.RT.ZS"/>
    <n v="18.499865049667871"/>
    <n v="64849930757.699547"/>
    <n v="11997149674.977474"/>
    <n v="179957245124.66211"/>
  </r>
  <r>
    <s v="Suriname"/>
    <s v="SUR"/>
    <x v="5"/>
    <s v="Total natural resources rents (% of GDP)"/>
    <s v="NY.GDP.TOTL.RT.ZS"/>
    <n v="13.940049140658131"/>
    <n v="4368007284.8156862"/>
    <n v="608902361.97083366"/>
    <n v="9133535429.5625057"/>
  </r>
  <r>
    <s v="Swaziland"/>
    <s v="SWZ"/>
    <x v="4"/>
    <s v="Total natural resources rents (% of GDP)"/>
    <s v="NY.GDP.TOTL.RT.ZS"/>
    <n v="2.5181215842414439"/>
    <n v="3691050502.6874857"/>
    <n v="92945139.393425897"/>
    <n v="1394177090.9013884"/>
  </r>
  <r>
    <s v="Sweden"/>
    <s v="SWE"/>
    <x v="1"/>
    <s v="Total natural resources rents (% of GDP)"/>
    <s v="NY.GDP.TOTL.RT.ZS"/>
    <n v="1.425789725013217"/>
    <n v="462903051317.61444"/>
    <n v="6600024142.4592056"/>
    <n v="99000362136.888092"/>
  </r>
  <r>
    <s v="Switzerland"/>
    <s v="CHE"/>
    <x v="1"/>
    <s v="Total natural resources rents (% of GDP)"/>
    <s v="NY.GDP.TOTL.RT.ZS"/>
    <n v="5.0591783766486799E-2"/>
    <n v="550638974461.53845"/>
    <n v="278578079.29358196"/>
    <n v="4178671189.4037294"/>
  </r>
  <r>
    <s v="Syrian Arab Republic"/>
    <s v="SYR"/>
    <x v="2"/>
    <s v="Total natural resources rents (% of GDP)"/>
    <s v="NY.GDP.TOTL.RT.ZS"/>
    <s v="NA"/>
    <s v="NA"/>
    <m/>
    <m/>
  </r>
  <r>
    <s v="Tajikistan"/>
    <s v="TJK"/>
    <x v="1"/>
    <s v="Total natural resources rents (% of GDP)"/>
    <s v="NY.GDP.TOTL.RT.ZS"/>
    <n v="1.5938875121506972"/>
    <n v="5642221528.6711435"/>
    <n v="89930664.353367537"/>
    <n v="1348959965.300513"/>
  </r>
  <r>
    <s v="Tanzania"/>
    <s v="TZA"/>
    <x v="4"/>
    <s v="Total natural resources rents (% of GDP)"/>
    <s v="NY.GDP.TOTL.RT.ZS"/>
    <n v="11.211640920310339"/>
    <n v="22915004297.218269"/>
    <n v="2569147998.6777964"/>
    <n v="38537219980.166946"/>
  </r>
  <r>
    <s v="Thailand"/>
    <s v="THA"/>
    <x v="3"/>
    <s v="Total natural resources rents (% of GDP)"/>
    <s v="NY.GDP.TOTL.RT.ZS"/>
    <n v="4.2869183430781312"/>
    <n v="318907930075.7124"/>
    <n v="13671322551.946495"/>
    <n v="205069838279.19742"/>
  </r>
  <r>
    <s v="Timor-Leste"/>
    <s v="TMP"/>
    <x v="3"/>
    <s v="Total natural resources rents (% of GDP)"/>
    <s v="NY.GDP.TOTL.RT.ZS"/>
    <n v="0.64539575000185401"/>
    <n v="934300000"/>
    <n v="6029932.4922673218"/>
    <n v="90448987.384009823"/>
  </r>
  <r>
    <s v="Togo"/>
    <s v="TGO"/>
    <x v="4"/>
    <s v="Total natural resources rents (% of GDP)"/>
    <s v="NY.GDP.TOTL.RT.ZS"/>
    <n v="9.1370700764592403"/>
    <n v="3172945282.3230391"/>
    <n v="289914233.93356359"/>
    <n v="4348713509.0034542"/>
  </r>
  <r>
    <s v="Tonga"/>
    <s v="TON"/>
    <x v="3"/>
    <s v="Total natural resources rents (% of GDP)"/>
    <s v="NY.GDP.TOTL.RT.ZS"/>
    <n v="6.9958102299104E-2"/>
    <n v="369212477.46289009"/>
    <n v="258294.04268454493"/>
    <n v="3874410.640268174"/>
  </r>
  <r>
    <s v="Trinidad and Tobago"/>
    <s v="TTO"/>
    <x v="5"/>
    <s v="Total natural resources rents (% of GDP)"/>
    <s v="NY.GDP.TOTL.RT.ZS"/>
    <n v="39.297131426547885"/>
    <n v="20667611846.25079"/>
    <n v="8121778589.9499531"/>
    <n v="121826678849.2493"/>
  </r>
  <r>
    <s v="Tunisia"/>
    <s v="TUN"/>
    <x v="2"/>
    <s v="Total natural resources rents (% of GDP)"/>
    <s v="NY.GDP.TOTL.RT.ZS"/>
    <n v="6.5869346955841017"/>
    <n v="44377742070.700012"/>
    <n v="2923132889.5717616"/>
    <n v="43846993343.576424"/>
  </r>
  <r>
    <s v="Turkey"/>
    <s v="TUR"/>
    <x v="1"/>
    <s v="Total natural resources rents (% of GDP)"/>
    <s v="NY.GDP.TOTL.RT.ZS"/>
    <n v="0.59764967737267438"/>
    <n v="731144392556.33887"/>
    <n v="4369682103.2413588"/>
    <n v="65545231548.620384"/>
  </r>
  <r>
    <s v="Turkmenistan"/>
    <s v="TKM"/>
    <x v="1"/>
    <s v="Total natural resources rents (% of GDP)"/>
    <s v="NY.GDP.TOTL.RT.ZS"/>
    <n v="39.866775082025391"/>
    <n v="22148070175.438595"/>
    <n v="8829721321.8512516"/>
    <n v="132445819827.76877"/>
  </r>
  <r>
    <s v="Turks and Caicos Islands"/>
    <s v="TCA"/>
    <x v="5"/>
    <s v="Total natural resources rents (% of GDP)"/>
    <s v="NY.GDP.TOTL.RT.ZS"/>
    <s v="NA"/>
    <s v="NA"/>
    <m/>
    <m/>
  </r>
  <r>
    <s v="Tuvalu"/>
    <s v="TUV"/>
    <x v="3"/>
    <s v="Total natural resources rents (% of GDP)"/>
    <s v="NY.GDP.TOTL.RT.ZS"/>
    <n v="0"/>
    <n v="31824701.278333101"/>
    <n v="0"/>
    <n v="0"/>
  </r>
  <r>
    <s v="Uganda"/>
    <s v="UGA"/>
    <x v="4"/>
    <s v="Total natural resources rents (% of GDP)"/>
    <s v="NY.GDP.TOTL.RT.ZS"/>
    <n v="14.635799386092676"/>
    <n v="16030996179.10774"/>
    <n v="2346264440.3663912"/>
    <n v="35193966605.495865"/>
  </r>
  <r>
    <s v="Ukraine"/>
    <s v="UKR"/>
    <x v="1"/>
    <s v="Total natural resources rents (% of GDP)"/>
    <s v="NY.GDP.TOTL.RT.ZS"/>
    <n v="5.4907749188267694"/>
    <n v="136418622767.35455"/>
    <n v="7490439523.5188084"/>
    <n v="112356592852.78212"/>
  </r>
  <r>
    <s v="United Arab Emirates"/>
    <s v="ARE"/>
    <x v="2"/>
    <s v="Total natural resources rents (% of GDP)"/>
    <s v="NY.GDP.TOTL.RT.ZS"/>
    <n v="21.686101330653994"/>
    <n v="287421818965.7583"/>
    <n v="62330586907.323227"/>
    <n v="934958803609.84839"/>
  </r>
  <r>
    <s v="United Kingdom"/>
    <s v="GBR"/>
    <x v="1"/>
    <s v="Total natural resources rents (% of GDP)"/>
    <s v="NY.GDP.TOTL.RT.ZS"/>
    <n v="1.5462171110377079"/>
    <n v="2285561538461.5386"/>
    <n v="35339743590.988991"/>
    <n v="530096153864.83484"/>
  </r>
  <r>
    <s v="United States"/>
    <s v="USA"/>
    <x v="6"/>
    <s v="Total natural resources rents (% of GDP)"/>
    <s v="NY.GDP.TOTL.RT.ZS"/>
    <n v="1.2283670209333999"/>
    <n v="14958300000000"/>
    <n v="183742824092.28073"/>
    <n v="2756142361384.2109"/>
  </r>
  <r>
    <s v="Uruguay"/>
    <s v="URY"/>
    <x v="5"/>
    <s v="Total natural resources rents (% of GDP)"/>
    <s v="NY.GDP.TOTL.RT.ZS"/>
    <n v="3.4618515291158558"/>
    <n v="38846222984.569771"/>
    <n v="1344798564.3950837"/>
    <n v="20171978465.926254"/>
  </r>
  <r>
    <s v="Uzbekistan"/>
    <s v="UZB"/>
    <x v="1"/>
    <s v="Total natural resources rents (% of GDP)"/>
    <s v="NY.GDP.TOTL.RT.ZS"/>
    <n v="27.158272528194242"/>
    <n v="39332771014.01297"/>
    <n v="10682101144.876232"/>
    <n v="160231517173.14349"/>
  </r>
  <r>
    <s v="Vanuatu"/>
    <s v="VUT"/>
    <x v="3"/>
    <s v="Total natural resources rents (% of GDP)"/>
    <s v="NY.GDP.TOTL.RT.ZS"/>
    <n v="1.12182998593251"/>
    <n v="700804045.16411996"/>
    <n v="7861829.9212791082"/>
    <n v="117927448.81918663"/>
  </r>
  <r>
    <s v="Venezuela, RB"/>
    <s v="VEN"/>
    <x v="5"/>
    <s v="Total natural resources rents (% of GDP)"/>
    <s v="NY.GDP.TOTL.RT.ZS"/>
    <n v="20.464159435263436"/>
    <n v="393807511437.2793"/>
    <n v="80589397008.56813"/>
    <n v="1208840955128.522"/>
  </r>
  <r>
    <s v="Vietnam"/>
    <s v="VNM"/>
    <x v="3"/>
    <s v="Total natural resources rents (% of GDP)"/>
    <s v="NY.GDP.TOTL.RT.ZS"/>
    <n v="11.726222478531966"/>
    <n v="115931749904.85977"/>
    <n v="13594414917.099127"/>
    <n v="203916223756.48691"/>
  </r>
  <r>
    <s v="Virgin Islands (U.S.)"/>
    <s v="VIR"/>
    <x v="5"/>
    <s v="Total natural resources rents (% of GDP)"/>
    <s v="NY.GDP.TOTL.RT.ZS"/>
    <s v="NA"/>
    <s v="NA"/>
    <m/>
    <m/>
  </r>
  <r>
    <s v="West Bank and Gaza"/>
    <s v="WBG"/>
    <x v="2"/>
    <s v="Total natural resources rents (% of GDP)"/>
    <s v="NY.GDP.TOTL.RT.ZS"/>
    <s v="NA"/>
    <s v="NA"/>
    <m/>
    <m/>
  </r>
  <r>
    <s v="Yemen, Rep."/>
    <s v="YEM"/>
    <x v="2"/>
    <s v="Total natural resources rents (% of GDP)"/>
    <s v="NY.GDP.TOTL.RT.ZS"/>
    <n v="22.46100233880566"/>
    <n v="31042729622.779816"/>
    <n v="6972508226.6016922"/>
    <n v="104587623399.02539"/>
  </r>
  <r>
    <s v="Zambia"/>
    <s v="ZMB"/>
    <x v="4"/>
    <s v="Total natural resources rents (% of GDP)"/>
    <s v="NY.GDP.TOTL.RT.ZS"/>
    <n v="27.750681365494525"/>
    <n v="16190196832.087244"/>
    <n v="4492889935.3189192"/>
    <n v="67393349029.783791"/>
  </r>
  <r>
    <s v="Zimbabwe"/>
    <s v="ZWE"/>
    <x v="4"/>
    <s v="Total natural resources rents (% of GDP)"/>
    <s v="NY.GDP.TOTL.RT.ZS"/>
    <n v="13.404309300500149"/>
    <n v="7433314459.7393303"/>
    <n v="996384461.46226156"/>
    <n v="14945766921.933924"/>
  </r>
  <r>
    <s v="TOTAL "/>
    <m/>
    <x v="7"/>
    <m/>
    <m/>
    <n v="1927.2889802171569"/>
    <n v="63663350904054.687"/>
    <n v="3023123568904.1025"/>
    <n v="45346853533561.5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14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compact="0" compactData="0" gridDropZones="1" multipleFieldFilters="0">
  <location ref="A1:C10" firstHeaderRow="1" firstDataRow="2" firstDataCol="1"/>
  <pivotFields count="21">
    <pivotField compact="0" outline="0" showAll="0"/>
    <pivotField compact="0" outline="0" showAll="0"/>
    <pivotField compact="0" outline="0" showAll="0"/>
    <pivotField axis="axisRow" compact="0" outline="0" showAll="0">
      <items count="9">
        <item x="3"/>
        <item x="1"/>
        <item x="5"/>
        <item x="2"/>
        <item x="6"/>
        <item x="0"/>
        <item x="4"/>
        <item h="1"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pop w/o access in 2030 pivot" fld="12" baseField="3" baseItem="3"/>
    <dataField name="Summe von total costs pivot" fld="15" baseField="3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38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compact="0" compactData="0" gridDropZones="1" multipleFieldFilters="0">
  <location ref="A1:C10" firstHeaderRow="1" firstDataRow="2" firstDataCol="1"/>
  <pivotFields count="23">
    <pivotField compact="0" outline="0" showAll="0"/>
    <pivotField compact="0" outline="0" showAll="0"/>
    <pivotField compact="0" outline="0" showAll="0"/>
    <pivotField axis="axisRow" compact="0" outline="0" showAll="0">
      <items count="9">
        <item x="3"/>
        <item x="1"/>
        <item x="5"/>
        <item x="2"/>
        <item x="6"/>
        <item x="0"/>
        <item x="4"/>
        <item h="1"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total population w/o improved water source 2030 pivot" fld="10" baseField="3" baseItem="0"/>
    <dataField name="Summe von total costs pivot" fld="17" baseField="3" baseItem="0"/>
  </dataFields>
  <formats count="1">
    <format dxfId="4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35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compact="0" compactData="0" gridDropZones="1" multipleFieldFilters="0">
  <location ref="A1:C10" firstHeaderRow="1" firstDataRow="2" firstDataCol="1"/>
  <pivotFields count="23">
    <pivotField compact="0" outline="0" showAll="0"/>
    <pivotField compact="0" outline="0" showAll="0"/>
    <pivotField compact="0" outline="0" showAll="0"/>
    <pivotField axis="axisRow" compact="0" outline="0" showAll="0">
      <items count="9">
        <item x="3"/>
        <item x="1"/>
        <item x="5"/>
        <item x="2"/>
        <item x="6"/>
        <item x="0"/>
        <item x="4"/>
        <item h="1"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total population w/o improved sanitation 2030 pivot" fld="10" baseField="3" baseItem="6"/>
    <dataField name="Summe von total costs (incl. recurrent) pivot" fld="17" baseField="3" baseItem="6"/>
  </dataFields>
  <formats count="1">
    <format dxfId="4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3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compact="0" compactData="0" gridDropZones="1" multipleFieldFilters="0">
  <location ref="A1:C10" firstHeaderRow="1" firstDataRow="2" firstDataCol="1"/>
  <pivotFields count="19">
    <pivotField compact="0" outline="0" showAll="0"/>
    <pivotField compact="0" outline="0" showAll="0"/>
    <pivotField compact="0" outline="0" showAll="0"/>
    <pivotField axis="axisRow" compact="0" outline="0" showAll="0">
      <items count="9">
        <item x="3"/>
        <item x="1"/>
        <item x="5"/>
        <item x="2"/>
        <item x="6"/>
        <item x="0"/>
        <item x="4"/>
        <item h="1" x="7"/>
        <item t="default"/>
      </items>
    </pivotField>
    <pivotField compact="0" outline="0" showAll="0"/>
    <pivotField compact="0" outline="0" showAll="0" defaultSubtota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total population w/o access pivot" fld="8" baseField="3" baseItem="0"/>
    <dataField name="Summe von total costs pivot" fld="13" baseField="3" baseItem="0"/>
  </dataFields>
  <formats count="1">
    <format dxfId="4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129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compact="0" compactData="0" gridDropZones="1" multipleFieldFilters="0">
  <location ref="A1:C10" firstHeaderRow="1" firstDataRow="2" firstDataCol="1"/>
  <pivotFields count="18">
    <pivotField compact="0" outline="0" showAll="0"/>
    <pivotField compact="0" outline="0" showAll="0"/>
    <pivotField compact="0" outline="0" showAll="0"/>
    <pivotField axis="axisRow" compact="0" outline="0" showAll="0">
      <items count="8">
        <item x="3"/>
        <item x="1"/>
        <item x="5"/>
        <item x="2"/>
        <item x="6"/>
        <item x="0"/>
        <item x="4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dataField="1" compact="0" numFmtId="3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unpaved roads (km) 2010 pivot" fld="7" baseField="3" baseItem="3"/>
    <dataField name="Summe von total costs pivot" fld="12" baseField="0" baseItem="0"/>
  </dataFields>
  <formats count="1">
    <format dxfId="4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14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K1:L9" firstHeaderRow="1" firstDataRow="1" firstDataCol="1"/>
  <pivotFields count="9">
    <pivotField showAll="0"/>
    <pivotField showAll="0"/>
    <pivotField axis="axisRow" showAll="0">
      <items count="9">
        <item x="3"/>
        <item x="1"/>
        <item x="5"/>
        <item x="2"/>
        <item x="6"/>
        <item x="0"/>
        <item x="4"/>
        <item h="1" x="7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me von rents 2015-2030" fld="8" baseField="2" baseItem="0" numFmtId="3"/>
  </dataFields>
  <formats count="2">
    <format dxfId="4">
      <pivotArea outline="0" collapsedLevelsAreSubtotals="1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e3" displayName="Tabelle3" ref="A3:N10" headerRowCount="0" totalsRowCount="1" headerRowDxfId="41">
  <tableColumns count="14">
    <tableColumn id="1" name="Region"/>
    <tableColumn id="2" name="Total Costs" totalsRowFunction="sum" headerRowDxfId="40" dataDxfId="39" totalsRowDxfId="38">
      <calculatedColumnFormula>VLOOKUP(Tabelle3[[#This Row],[Region]],'Electricity Pivot'!A:C,2,0)</calculatedColumnFormula>
    </tableColumn>
    <tableColumn id="3" name="pop w/o access 2030" totalsRowFunction="sum" headerRowDxfId="37" dataDxfId="36" totalsRowDxfId="0">
      <calculatedColumnFormula>VLOOKUP(Tabelle3[[#This Row],[Region]],'Electricity Pivot'!A:C,3,0)</calculatedColumnFormula>
    </tableColumn>
    <tableColumn id="4" name="Total Costs2" totalsRowFunction="sum" headerRowDxfId="35" dataDxfId="34" totalsRowDxfId="33">
      <calculatedColumnFormula>VLOOKUP(Tabelle3[[#This Row],[Region]],'Water Pivot'!A:C,2,0)</calculatedColumnFormula>
    </tableColumn>
    <tableColumn id="5" name="pop w/o access 20302" totalsRowFunction="sum" headerRowDxfId="32" dataDxfId="31" totalsRowDxfId="30">
      <calculatedColumnFormula>VLOOKUP(Tabelle3[[#This Row],[Region]],'Water Pivot'!A:C,3,0)</calculatedColumnFormula>
    </tableColumn>
    <tableColumn id="6" name="Total Costs4" totalsRowFunction="sum" headerRowDxfId="29" dataDxfId="28" totalsRowDxfId="27">
      <calculatedColumnFormula>VLOOKUP(Tabelle3[[#This Row],[Region]],'Sanitation Pivot'!A:C,2,0)</calculatedColumnFormula>
    </tableColumn>
    <tableColumn id="7" name="pop w/o access 20305" totalsRowFunction="sum" headerRowDxfId="26" dataDxfId="25" totalsRowDxfId="24">
      <calculatedColumnFormula>VLOOKUP(Tabelle3[[#This Row],[Region]],'Sanitation Pivot'!A:C,3,0)</calculatedColumnFormula>
    </tableColumn>
    <tableColumn id="8" name="Total Costs6" totalsRowFunction="sum" headerRowDxfId="23" dataDxfId="22" totalsRowDxfId="21">
      <calculatedColumnFormula>VLOOKUP(Tabelle3[[#This Row],[Region]],'ICT Pivot'!A:C,2,0)</calculatedColumnFormula>
    </tableColumn>
    <tableColumn id="9" name="pop w/o access 20307" totalsRowFunction="sum" headerRowDxfId="20" dataDxfId="19" totalsRowDxfId="18">
      <calculatedColumnFormula>VLOOKUP(Tabelle3[[#This Row],[Region]],'ICT Pivot'!A:C,3,0)</calculatedColumnFormula>
    </tableColumn>
    <tableColumn id="10" name="Total Costs8" totalsRowFunction="sum" headerRowDxfId="17" dataDxfId="16" totalsRowDxfId="15">
      <calculatedColumnFormula>VLOOKUP(Tabelle3[[#This Row],[Region]],'Roads Pivot'!A:C,2,0)</calculatedColumnFormula>
    </tableColumn>
    <tableColumn id="11" name="unpaved km 2010" totalsRowFunction="sum" headerRowDxfId="14" dataDxfId="13" totalsRowDxfId="12">
      <calculatedColumnFormula>VLOOKUP(Tabelle3[[#This Row],[Region]],'Roads Pivot'!A:C,3,0)</calculatedColumnFormula>
    </tableColumn>
    <tableColumn id="12" name="Sum of costs" totalsRowFunction="sum" headerRowDxfId="11" dataDxfId="10" totalsRowDxfId="9">
      <calculatedColumnFormula>C3+E3+G3+I3+K3</calculatedColumnFormula>
    </tableColumn>
    <tableColumn id="13" name="Spalte1" headerRowDxfId="8" dataDxfId="7">
      <calculatedColumnFormula>B3+D3+F3+H3+J3</calculatedColumnFormula>
    </tableColumn>
    <tableColumn id="14" name="Spalte2" headerRowDxfId="6" dataDxfId="5">
      <calculatedColumnFormula>Tabelle3[[#This Row],[Sum of costs]]/Tabelle3[[#This Row],[Spalte1]]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"/>
  <sheetViews>
    <sheetView topLeftCell="C1" zoomScale="90" zoomScaleNormal="90" workbookViewId="0">
      <selection activeCell="M12" sqref="M12"/>
    </sheetView>
  </sheetViews>
  <sheetFormatPr baseColWidth="10" defaultRowHeight="15" x14ac:dyDescent="0.25"/>
  <cols>
    <col min="1" max="1" width="28.7109375" style="19" bestFit="1" customWidth="1"/>
    <col min="2" max="5" width="11.42578125" style="19"/>
    <col min="6" max="7" width="13.5703125" style="24" bestFit="1" customWidth="1"/>
    <col min="8" max="8" width="11.42578125" style="19"/>
    <col min="9" max="9" width="11.42578125" style="22"/>
    <col min="10" max="10" width="11.42578125" style="23"/>
    <col min="11" max="11" width="11.42578125" style="19"/>
    <col min="12" max="12" width="16.28515625" style="24" customWidth="1"/>
    <col min="13" max="13" width="16.28515625" style="36" customWidth="1"/>
    <col min="14" max="14" width="15.42578125" style="19" customWidth="1"/>
    <col min="15" max="15" width="14.5703125" style="19" customWidth="1"/>
    <col min="16" max="16" width="14.5703125" style="37" customWidth="1"/>
    <col min="17" max="17" width="33.7109375" style="19" bestFit="1" customWidth="1"/>
    <col min="18" max="18" width="30.7109375" style="19" bestFit="1" customWidth="1"/>
    <col min="19" max="19" width="20.140625" style="23" bestFit="1" customWidth="1"/>
    <col min="20" max="20" width="16.42578125" style="23" bestFit="1" customWidth="1"/>
    <col min="21" max="21" width="18" style="23" bestFit="1" customWidth="1"/>
    <col min="22" max="16384" width="11.42578125" style="19"/>
  </cols>
  <sheetData>
    <row r="1" spans="1:21" s="10" customFormat="1" x14ac:dyDescent="0.25">
      <c r="A1" s="10" t="s">
        <v>0</v>
      </c>
      <c r="F1" s="11"/>
      <c r="G1" s="11"/>
      <c r="I1" s="12"/>
      <c r="J1" s="13"/>
      <c r="L1" s="11"/>
      <c r="M1" s="38"/>
      <c r="P1" s="34"/>
      <c r="S1" s="13"/>
      <c r="T1" s="13"/>
      <c r="U1" s="13"/>
    </row>
    <row r="2" spans="1:21" s="10" customFormat="1" x14ac:dyDescent="0.25">
      <c r="A2" s="14" t="s">
        <v>1</v>
      </c>
      <c r="B2" s="14" t="s">
        <v>2</v>
      </c>
      <c r="C2" s="14" t="s">
        <v>3</v>
      </c>
      <c r="D2" s="14" t="s">
        <v>4</v>
      </c>
      <c r="E2" s="14" t="s">
        <v>456</v>
      </c>
      <c r="F2" s="15" t="s">
        <v>455</v>
      </c>
      <c r="G2" s="15" t="s">
        <v>6</v>
      </c>
      <c r="H2" s="14" t="s">
        <v>457</v>
      </c>
      <c r="I2" s="16" t="s">
        <v>7</v>
      </c>
      <c r="J2" s="17" t="s">
        <v>8</v>
      </c>
      <c r="K2" s="14" t="s">
        <v>9</v>
      </c>
      <c r="L2" s="15" t="s">
        <v>10</v>
      </c>
      <c r="M2" s="35" t="s">
        <v>558</v>
      </c>
      <c r="N2" s="17" t="s">
        <v>11</v>
      </c>
      <c r="O2" s="15" t="s">
        <v>475</v>
      </c>
      <c r="P2" s="35" t="s">
        <v>556</v>
      </c>
      <c r="Q2" s="15" t="s">
        <v>506</v>
      </c>
      <c r="R2" s="15" t="s">
        <v>507</v>
      </c>
      <c r="S2" s="13" t="s">
        <v>508</v>
      </c>
      <c r="T2" s="13" t="s">
        <v>504</v>
      </c>
      <c r="U2" s="13" t="s">
        <v>505</v>
      </c>
    </row>
    <row r="3" spans="1:21" x14ac:dyDescent="0.25">
      <c r="A3" s="18" t="s">
        <v>12</v>
      </c>
      <c r="B3" s="18" t="s">
        <v>13</v>
      </c>
      <c r="C3" s="18" t="s">
        <v>14</v>
      </c>
      <c r="D3" s="18" t="s">
        <v>15</v>
      </c>
      <c r="F3" s="20">
        <v>28397812</v>
      </c>
      <c r="G3" s="20">
        <v>43499632</v>
      </c>
      <c r="H3" s="21">
        <v>64</v>
      </c>
      <c r="I3" s="22">
        <v>1.1004620318530163</v>
      </c>
      <c r="J3" s="23">
        <f>H3*I3</f>
        <v>70.429570038593042</v>
      </c>
      <c r="K3" s="21">
        <v>41</v>
      </c>
      <c r="L3" s="24">
        <f>(1-(K3/100))*G3</f>
        <v>25664782.880000003</v>
      </c>
      <c r="M3" s="36">
        <f>IFERROR(L3,0)</f>
        <v>25664782.880000003</v>
      </c>
      <c r="N3" s="23">
        <v>5.8613944938892791E-2</v>
      </c>
      <c r="O3" s="24">
        <f>J3*L3</f>
        <v>1807559623.3722439</v>
      </c>
      <c r="P3" s="36">
        <f>IFERROR(O3,0)</f>
        <v>1807559623.3722439</v>
      </c>
      <c r="Q3" s="24">
        <v>275432181.35267156</v>
      </c>
      <c r="R3" s="24">
        <f>Q3*15</f>
        <v>4131482720.2900734</v>
      </c>
      <c r="S3" s="23">
        <f t="shared" ref="S3:S66" si="0">O3/R3</f>
        <v>0.43750869742118498</v>
      </c>
      <c r="T3" s="23">
        <f t="shared" ref="T3:T68" si="1">(O3/2)/(R3*1.5)</f>
        <v>0.14583623247372832</v>
      </c>
      <c r="U3" s="23">
        <f t="shared" ref="U3:U68" si="2">(O3*1.5)/(R3/2)</f>
        <v>1.3125260922635549</v>
      </c>
    </row>
    <row r="4" spans="1:21" x14ac:dyDescent="0.25">
      <c r="A4" s="18" t="s">
        <v>16</v>
      </c>
      <c r="B4" s="18" t="s">
        <v>17</v>
      </c>
      <c r="C4" s="18" t="s">
        <v>18</v>
      </c>
      <c r="D4" s="18" t="s">
        <v>19</v>
      </c>
      <c r="F4" s="20">
        <v>3150143</v>
      </c>
      <c r="G4" s="20">
        <v>3310564</v>
      </c>
      <c r="H4" s="20" t="s">
        <v>232</v>
      </c>
      <c r="I4" s="22">
        <v>1.1004620318530163</v>
      </c>
      <c r="J4" s="23" t="e">
        <f t="shared" ref="J4:J67" si="3">H4*I4</f>
        <v>#VALUE!</v>
      </c>
      <c r="K4" s="21">
        <v>100</v>
      </c>
      <c r="L4" s="24">
        <f t="shared" ref="L4:L67" si="4">(1-(K4/100))*G4</f>
        <v>0</v>
      </c>
      <c r="M4" s="36">
        <f t="shared" ref="M4:M67" si="5">IFERROR(L4,0)</f>
        <v>0</v>
      </c>
      <c r="N4" s="23">
        <v>0</v>
      </c>
      <c r="O4" s="24" t="e">
        <f t="shared" ref="O4:O67" si="6">J4*L4</f>
        <v>#VALUE!</v>
      </c>
      <c r="P4" s="36">
        <f t="shared" ref="P4:P67" si="7">IFERROR(O4,0)</f>
        <v>0</v>
      </c>
      <c r="Q4" s="24">
        <v>411495291.46132761</v>
      </c>
      <c r="R4" s="24">
        <f t="shared" ref="R4:R67" si="8">Q4*15</f>
        <v>6172429371.9199142</v>
      </c>
      <c r="S4" s="23" t="e">
        <f t="shared" si="0"/>
        <v>#VALUE!</v>
      </c>
      <c r="T4" s="23" t="e">
        <f t="shared" si="1"/>
        <v>#VALUE!</v>
      </c>
      <c r="U4" s="23" t="e">
        <f t="shared" si="2"/>
        <v>#VALUE!</v>
      </c>
    </row>
    <row r="5" spans="1:21" x14ac:dyDescent="0.25">
      <c r="A5" s="18" t="s">
        <v>20</v>
      </c>
      <c r="B5" s="18" t="s">
        <v>21</v>
      </c>
      <c r="C5" s="18" t="s">
        <v>18</v>
      </c>
      <c r="D5" s="18" t="s">
        <v>22</v>
      </c>
      <c r="E5" s="18" t="s">
        <v>23</v>
      </c>
      <c r="F5" s="20">
        <v>37062820</v>
      </c>
      <c r="G5" s="20">
        <v>48561408</v>
      </c>
      <c r="H5" s="21">
        <v>326.89002158513563</v>
      </c>
      <c r="I5" s="22">
        <v>1.1004620318530163</v>
      </c>
      <c r="J5" s="23">
        <f t="shared" si="3"/>
        <v>359.73005734605471</v>
      </c>
      <c r="K5" s="21">
        <v>99.3</v>
      </c>
      <c r="L5" s="24">
        <f t="shared" si="4"/>
        <v>339929.85600000032</v>
      </c>
      <c r="M5" s="36">
        <f t="shared" si="5"/>
        <v>339929.85600000032</v>
      </c>
      <c r="N5" s="23">
        <v>2.7075295212977562E-2</v>
      </c>
      <c r="O5" s="24">
        <f t="shared" si="6"/>
        <v>122282986.59251623</v>
      </c>
      <c r="P5" s="36">
        <f t="shared" si="7"/>
        <v>122282986.59251623</v>
      </c>
      <c r="Q5" s="24">
        <v>41290138275.752869</v>
      </c>
      <c r="R5" s="24">
        <f t="shared" si="8"/>
        <v>619352074136.29297</v>
      </c>
      <c r="S5" s="23">
        <f t="shared" si="0"/>
        <v>1.9743695338881996E-4</v>
      </c>
      <c r="T5" s="23">
        <f t="shared" si="1"/>
        <v>6.5812317796273319E-5</v>
      </c>
      <c r="U5" s="23">
        <f t="shared" si="2"/>
        <v>5.9231086016645984E-4</v>
      </c>
    </row>
    <row r="6" spans="1:21" x14ac:dyDescent="0.25">
      <c r="A6" s="18" t="s">
        <v>24</v>
      </c>
      <c r="B6" s="18" t="s">
        <v>25</v>
      </c>
      <c r="C6" s="18" t="s">
        <v>18</v>
      </c>
      <c r="D6" s="18" t="s">
        <v>26</v>
      </c>
      <c r="F6" s="20">
        <v>55636</v>
      </c>
      <c r="G6" s="20">
        <v>60989</v>
      </c>
      <c r="H6" s="21">
        <v>157</v>
      </c>
      <c r="I6" s="22">
        <v>1.1004620318530163</v>
      </c>
      <c r="J6" s="23">
        <f t="shared" si="3"/>
        <v>172.77253900092356</v>
      </c>
      <c r="K6" s="21">
        <v>55.766350000000003</v>
      </c>
      <c r="L6" s="24">
        <f t="shared" si="4"/>
        <v>26977.660798500001</v>
      </c>
      <c r="M6" s="36">
        <f t="shared" si="5"/>
        <v>26977.660798500001</v>
      </c>
      <c r="N6" s="23">
        <v>0.11040303634246594</v>
      </c>
      <c r="O6" s="24">
        <f t="shared" si="6"/>
        <v>4660998.9524625279</v>
      </c>
      <c r="P6" s="36">
        <f t="shared" si="7"/>
        <v>4660998.9524625279</v>
      </c>
      <c r="Q6" s="24" t="s">
        <v>232</v>
      </c>
      <c r="R6" s="24" t="e">
        <f t="shared" si="8"/>
        <v>#VALUE!</v>
      </c>
      <c r="S6" s="23" t="e">
        <f t="shared" si="0"/>
        <v>#VALUE!</v>
      </c>
      <c r="T6" s="23" t="e">
        <f t="shared" si="1"/>
        <v>#VALUE!</v>
      </c>
      <c r="U6" s="23" t="e">
        <f t="shared" si="2"/>
        <v>#VALUE!</v>
      </c>
    </row>
    <row r="7" spans="1:21" x14ac:dyDescent="0.25">
      <c r="A7" s="18" t="s">
        <v>27</v>
      </c>
      <c r="B7" s="18" t="s">
        <v>28</v>
      </c>
      <c r="C7" s="18" t="s">
        <v>29</v>
      </c>
      <c r="D7" s="18" t="s">
        <v>19</v>
      </c>
      <c r="F7" s="20">
        <v>77907</v>
      </c>
      <c r="G7" s="20">
        <v>88710</v>
      </c>
      <c r="H7" s="20" t="s">
        <v>232</v>
      </c>
      <c r="I7" s="22">
        <v>1.1004620318530163</v>
      </c>
      <c r="J7" s="23" t="e">
        <f t="shared" si="3"/>
        <v>#VALUE!</v>
      </c>
      <c r="K7" s="21">
        <v>100</v>
      </c>
      <c r="L7" s="24">
        <f t="shared" si="4"/>
        <v>0</v>
      </c>
      <c r="M7" s="36">
        <f t="shared" si="5"/>
        <v>0</v>
      </c>
      <c r="N7" s="23">
        <v>0</v>
      </c>
      <c r="O7" s="24" t="e">
        <f t="shared" si="6"/>
        <v>#VALUE!</v>
      </c>
      <c r="P7" s="36">
        <f t="shared" si="7"/>
        <v>0</v>
      </c>
      <c r="Q7" s="24" t="s">
        <v>232</v>
      </c>
      <c r="R7" s="24" t="e">
        <f t="shared" si="8"/>
        <v>#VALUE!</v>
      </c>
      <c r="S7" s="23" t="e">
        <f t="shared" si="0"/>
        <v>#VALUE!</v>
      </c>
      <c r="T7" s="23" t="e">
        <f t="shared" si="1"/>
        <v>#VALUE!</v>
      </c>
      <c r="U7" s="23" t="e">
        <f t="shared" si="2"/>
        <v>#VALUE!</v>
      </c>
    </row>
    <row r="8" spans="1:21" x14ac:dyDescent="0.25">
      <c r="A8" s="18" t="s">
        <v>30</v>
      </c>
      <c r="B8" s="18" t="s">
        <v>31</v>
      </c>
      <c r="C8" s="18" t="s">
        <v>18</v>
      </c>
      <c r="D8" s="18" t="s">
        <v>32</v>
      </c>
      <c r="F8" s="20">
        <v>19549124</v>
      </c>
      <c r="G8" s="20">
        <v>34783312</v>
      </c>
      <c r="H8" s="21">
        <v>326.89002158513563</v>
      </c>
      <c r="I8" s="22">
        <v>1.1004620318530163</v>
      </c>
      <c r="J8" s="23">
        <f t="shared" si="3"/>
        <v>359.73005734605471</v>
      </c>
      <c r="K8" s="21">
        <v>34.6</v>
      </c>
      <c r="L8" s="24">
        <f t="shared" si="4"/>
        <v>22748286.047999997</v>
      </c>
      <c r="M8" s="36">
        <f t="shared" si="5"/>
        <v>22748286.047999997</v>
      </c>
      <c r="N8" s="23">
        <v>2.7075295212977562E-2</v>
      </c>
      <c r="O8" s="24">
        <f t="shared" si="6"/>
        <v>8183242244.5714951</v>
      </c>
      <c r="P8" s="36">
        <f t="shared" si="7"/>
        <v>8183242244.5714951</v>
      </c>
      <c r="Q8" s="24">
        <v>38084701465.664787</v>
      </c>
      <c r="R8" s="24">
        <f t="shared" si="8"/>
        <v>571270521984.9718</v>
      </c>
      <c r="S8" s="23">
        <f t="shared" si="0"/>
        <v>1.4324635929292302E-2</v>
      </c>
      <c r="T8" s="23">
        <f t="shared" si="1"/>
        <v>4.7748786430974336E-3</v>
      </c>
      <c r="U8" s="23">
        <f t="shared" si="2"/>
        <v>4.2973907787876908E-2</v>
      </c>
    </row>
    <row r="9" spans="1:21" s="31" customFormat="1" x14ac:dyDescent="0.25">
      <c r="A9" s="25" t="s">
        <v>33</v>
      </c>
      <c r="B9" s="25" t="s">
        <v>34</v>
      </c>
      <c r="C9" s="25" t="s">
        <v>29</v>
      </c>
      <c r="D9" s="25" t="s">
        <v>35</v>
      </c>
      <c r="E9" s="25"/>
      <c r="F9" s="26">
        <v>87233</v>
      </c>
      <c r="G9" s="26">
        <v>104982</v>
      </c>
      <c r="H9" s="27">
        <v>326.89002158513563</v>
      </c>
      <c r="I9" s="28">
        <v>1.1004620318530163</v>
      </c>
      <c r="J9" s="29">
        <f t="shared" si="3"/>
        <v>359.73005734605471</v>
      </c>
      <c r="K9" s="27">
        <v>88.229380000000006</v>
      </c>
      <c r="L9" s="24">
        <f t="shared" si="4"/>
        <v>12357.032288399998</v>
      </c>
      <c r="M9" s="36">
        <f t="shared" si="5"/>
        <v>12357.032288399998</v>
      </c>
      <c r="N9" s="29">
        <v>2.7075295212977562E-2</v>
      </c>
      <c r="O9" s="24">
        <f t="shared" si="6"/>
        <v>4445195.9337331811</v>
      </c>
      <c r="P9" s="36">
        <f t="shared" si="7"/>
        <v>4445195.9337331811</v>
      </c>
      <c r="Q9" s="30">
        <v>0</v>
      </c>
      <c r="R9" s="24">
        <f t="shared" si="8"/>
        <v>0</v>
      </c>
      <c r="S9" s="23" t="e">
        <f t="shared" si="0"/>
        <v>#DIV/0!</v>
      </c>
      <c r="T9" s="23" t="e">
        <f t="shared" si="1"/>
        <v>#DIV/0!</v>
      </c>
      <c r="U9" s="23" t="e">
        <f t="shared" si="2"/>
        <v>#DIV/0!</v>
      </c>
    </row>
    <row r="10" spans="1:21" x14ac:dyDescent="0.25">
      <c r="A10" s="18" t="s">
        <v>36</v>
      </c>
      <c r="B10" s="18" t="s">
        <v>37</v>
      </c>
      <c r="C10" s="18" t="s">
        <v>18</v>
      </c>
      <c r="D10" s="18" t="s">
        <v>35</v>
      </c>
      <c r="E10" s="18"/>
      <c r="F10" s="20">
        <v>40374224</v>
      </c>
      <c r="G10" s="20">
        <v>46859381</v>
      </c>
      <c r="H10" s="21">
        <v>326.89002158513563</v>
      </c>
      <c r="I10" s="22">
        <v>1.1004620318530163</v>
      </c>
      <c r="J10" s="23">
        <f t="shared" si="3"/>
        <v>359.73005734605471</v>
      </c>
      <c r="K10" s="21">
        <v>88.229380000000006</v>
      </c>
      <c r="L10" s="24">
        <f t="shared" si="4"/>
        <v>5515639.671862199</v>
      </c>
      <c r="M10" s="36">
        <f t="shared" si="5"/>
        <v>5515639.671862199</v>
      </c>
      <c r="N10" s="23">
        <v>2.7075295212977562E-2</v>
      </c>
      <c r="O10" s="24">
        <f t="shared" si="6"/>
        <v>1984141375.4591632</v>
      </c>
      <c r="P10" s="36">
        <f t="shared" si="7"/>
        <v>1984141375.4591632</v>
      </c>
      <c r="Q10" s="24">
        <v>23990886710.821796</v>
      </c>
      <c r="R10" s="24">
        <f t="shared" si="8"/>
        <v>359863300662.32697</v>
      </c>
      <c r="S10" s="23">
        <f t="shared" si="0"/>
        <v>5.5135974460506498E-3</v>
      </c>
      <c r="T10" s="23">
        <f t="shared" si="1"/>
        <v>1.8378658153502165E-3</v>
      </c>
      <c r="U10" s="23">
        <f t="shared" si="2"/>
        <v>1.6540792338151949E-2</v>
      </c>
    </row>
    <row r="11" spans="1:21" x14ac:dyDescent="0.25">
      <c r="A11" s="18" t="s">
        <v>38</v>
      </c>
      <c r="B11" s="18" t="s">
        <v>39</v>
      </c>
      <c r="C11" s="18" t="s">
        <v>40</v>
      </c>
      <c r="D11" s="18" t="s">
        <v>19</v>
      </c>
      <c r="F11" s="20">
        <v>2963496</v>
      </c>
      <c r="G11" s="20">
        <v>2969807</v>
      </c>
      <c r="H11" s="20" t="s">
        <v>232</v>
      </c>
      <c r="I11" s="22">
        <v>1.1004620318530163</v>
      </c>
      <c r="J11" s="23" t="e">
        <f t="shared" si="3"/>
        <v>#VALUE!</v>
      </c>
      <c r="K11" s="21">
        <v>99.8</v>
      </c>
      <c r="L11" s="24">
        <f t="shared" si="4"/>
        <v>5939.614000000005</v>
      </c>
      <c r="M11" s="36">
        <f t="shared" si="5"/>
        <v>5939.614000000005</v>
      </c>
      <c r="N11" s="23">
        <v>0</v>
      </c>
      <c r="O11" s="24" t="e">
        <f t="shared" si="6"/>
        <v>#VALUE!</v>
      </c>
      <c r="P11" s="36">
        <f t="shared" si="7"/>
        <v>0</v>
      </c>
      <c r="Q11" s="24">
        <v>346885961.37184739</v>
      </c>
      <c r="R11" s="24">
        <f t="shared" si="8"/>
        <v>5203289420.5777111</v>
      </c>
      <c r="S11" s="23" t="e">
        <f t="shared" si="0"/>
        <v>#VALUE!</v>
      </c>
      <c r="T11" s="23" t="e">
        <f t="shared" si="1"/>
        <v>#VALUE!</v>
      </c>
      <c r="U11" s="23" t="e">
        <f t="shared" si="2"/>
        <v>#VALUE!</v>
      </c>
    </row>
    <row r="12" spans="1:21" x14ac:dyDescent="0.25">
      <c r="A12" s="18" t="s">
        <v>41</v>
      </c>
      <c r="B12" s="18" t="s">
        <v>42</v>
      </c>
      <c r="C12" s="18" t="s">
        <v>29</v>
      </c>
      <c r="D12" s="18" t="s">
        <v>35</v>
      </c>
      <c r="E12" s="18"/>
      <c r="F12" s="20">
        <v>101597</v>
      </c>
      <c r="G12" s="20">
        <v>107734</v>
      </c>
      <c r="H12" s="21">
        <v>326.89002158513563</v>
      </c>
      <c r="I12" s="22">
        <v>1.1004620318530163</v>
      </c>
      <c r="J12" s="23">
        <f t="shared" si="3"/>
        <v>359.73005734605471</v>
      </c>
      <c r="K12" s="21">
        <v>88.229380000000006</v>
      </c>
      <c r="L12" s="24">
        <f t="shared" si="4"/>
        <v>12680.959750799999</v>
      </c>
      <c r="M12" s="36">
        <f t="shared" si="5"/>
        <v>12680.959750799999</v>
      </c>
      <c r="N12" s="23">
        <v>2.7075295212977562E-2</v>
      </c>
      <c r="O12" s="24">
        <f t="shared" si="6"/>
        <v>4561722.3783582952</v>
      </c>
      <c r="P12" s="36">
        <f t="shared" si="7"/>
        <v>4561722.3783582952</v>
      </c>
      <c r="Q12" s="24">
        <v>93353.484085037111</v>
      </c>
      <c r="R12" s="24">
        <f t="shared" si="8"/>
        <v>1400302.2612755566</v>
      </c>
      <c r="S12" s="23">
        <f t="shared" si="0"/>
        <v>3.2576697935222589</v>
      </c>
      <c r="T12" s="23">
        <f t="shared" si="1"/>
        <v>1.0858899311740864</v>
      </c>
      <c r="U12" s="23">
        <f t="shared" si="2"/>
        <v>9.7730093805667781</v>
      </c>
    </row>
    <row r="13" spans="1:21" x14ac:dyDescent="0.25">
      <c r="A13" s="18" t="s">
        <v>43</v>
      </c>
      <c r="B13" s="18" t="s">
        <v>44</v>
      </c>
      <c r="C13" s="18" t="s">
        <v>45</v>
      </c>
      <c r="D13" s="18" t="s">
        <v>26</v>
      </c>
      <c r="F13" s="20">
        <v>22031800</v>
      </c>
      <c r="G13" s="20">
        <v>28335501</v>
      </c>
      <c r="H13" s="21">
        <v>157</v>
      </c>
      <c r="I13" s="22">
        <v>1.1004620318530163</v>
      </c>
      <c r="J13" s="23">
        <f t="shared" si="3"/>
        <v>172.77253900092356</v>
      </c>
      <c r="K13" s="21">
        <v>100</v>
      </c>
      <c r="L13" s="24">
        <f t="shared" si="4"/>
        <v>0</v>
      </c>
      <c r="M13" s="36">
        <f t="shared" si="5"/>
        <v>0</v>
      </c>
      <c r="N13" s="23">
        <v>0.11040303634246594</v>
      </c>
      <c r="O13" s="24">
        <f t="shared" si="6"/>
        <v>0</v>
      </c>
      <c r="P13" s="36">
        <f t="shared" si="7"/>
        <v>0</v>
      </c>
      <c r="Q13" s="24">
        <v>111498672067.56895</v>
      </c>
      <c r="R13" s="24">
        <f t="shared" si="8"/>
        <v>1672480081013.5344</v>
      </c>
      <c r="S13" s="23">
        <f t="shared" si="0"/>
        <v>0</v>
      </c>
      <c r="T13" s="23">
        <f t="shared" si="1"/>
        <v>0</v>
      </c>
      <c r="U13" s="23">
        <f t="shared" si="2"/>
        <v>0</v>
      </c>
    </row>
    <row r="14" spans="1:21" x14ac:dyDescent="0.25">
      <c r="A14" s="18" t="s">
        <v>46</v>
      </c>
      <c r="B14" s="18" t="s">
        <v>47</v>
      </c>
      <c r="C14" s="18" t="s">
        <v>45</v>
      </c>
      <c r="D14" s="18" t="s">
        <v>19</v>
      </c>
      <c r="F14" s="20">
        <v>8389771</v>
      </c>
      <c r="G14" s="20">
        <v>9005424</v>
      </c>
      <c r="H14" s="20" t="s">
        <v>232</v>
      </c>
      <c r="I14" s="22">
        <v>1.1004620318530163</v>
      </c>
      <c r="J14" s="23" t="e">
        <f t="shared" si="3"/>
        <v>#VALUE!</v>
      </c>
      <c r="K14" s="21">
        <v>100</v>
      </c>
      <c r="L14" s="24">
        <f t="shared" si="4"/>
        <v>0</v>
      </c>
      <c r="M14" s="36">
        <f t="shared" si="5"/>
        <v>0</v>
      </c>
      <c r="N14" s="23">
        <v>0</v>
      </c>
      <c r="O14" s="24" t="e">
        <f t="shared" si="6"/>
        <v>#VALUE!</v>
      </c>
      <c r="P14" s="36">
        <f t="shared" si="7"/>
        <v>0</v>
      </c>
      <c r="Q14" s="24">
        <v>1711085863.7734871</v>
      </c>
      <c r="R14" s="24">
        <f t="shared" si="8"/>
        <v>25666287956.602306</v>
      </c>
      <c r="S14" s="23" t="e">
        <f t="shared" si="0"/>
        <v>#VALUE!</v>
      </c>
      <c r="T14" s="23" t="e">
        <f t="shared" si="1"/>
        <v>#VALUE!</v>
      </c>
      <c r="U14" s="23" t="e">
        <f t="shared" si="2"/>
        <v>#VALUE!</v>
      </c>
    </row>
    <row r="15" spans="1:21" x14ac:dyDescent="0.25">
      <c r="A15" s="18" t="s">
        <v>48</v>
      </c>
      <c r="B15" s="18" t="s">
        <v>49</v>
      </c>
      <c r="C15" s="18" t="s">
        <v>18</v>
      </c>
      <c r="D15" s="18" t="s">
        <v>19</v>
      </c>
      <c r="F15" s="20">
        <v>9054332</v>
      </c>
      <c r="G15" s="20">
        <v>10474377</v>
      </c>
      <c r="H15" s="20" t="s">
        <v>232</v>
      </c>
      <c r="I15" s="22">
        <v>1.1004620318530163</v>
      </c>
      <c r="J15" s="23" t="e">
        <f t="shared" si="3"/>
        <v>#VALUE!</v>
      </c>
      <c r="K15" s="21">
        <v>100</v>
      </c>
      <c r="L15" s="24">
        <f t="shared" si="4"/>
        <v>0</v>
      </c>
      <c r="M15" s="36">
        <f t="shared" si="5"/>
        <v>0</v>
      </c>
      <c r="N15" s="23">
        <v>0</v>
      </c>
      <c r="O15" s="24" t="e">
        <f t="shared" si="6"/>
        <v>#VALUE!</v>
      </c>
      <c r="P15" s="36">
        <f t="shared" si="7"/>
        <v>0</v>
      </c>
      <c r="Q15" s="24">
        <v>24407648660.104939</v>
      </c>
      <c r="R15" s="24">
        <f t="shared" si="8"/>
        <v>366114729901.5741</v>
      </c>
      <c r="S15" s="23" t="e">
        <f t="shared" si="0"/>
        <v>#VALUE!</v>
      </c>
      <c r="T15" s="23" t="e">
        <f t="shared" si="1"/>
        <v>#VALUE!</v>
      </c>
      <c r="U15" s="23" t="e">
        <f t="shared" si="2"/>
        <v>#VALUE!</v>
      </c>
    </row>
    <row r="16" spans="1:21" x14ac:dyDescent="0.25">
      <c r="A16" s="18" t="s">
        <v>50</v>
      </c>
      <c r="B16" s="18" t="s">
        <v>51</v>
      </c>
      <c r="C16" s="18" t="s">
        <v>29</v>
      </c>
      <c r="D16" s="18" t="s">
        <v>35</v>
      </c>
      <c r="E16" s="18"/>
      <c r="F16" s="20" t="s">
        <v>555</v>
      </c>
      <c r="G16" s="24">
        <v>447410</v>
      </c>
      <c r="H16" s="21">
        <v>326.89002158513563</v>
      </c>
      <c r="I16" s="22">
        <v>1.1004620318530163</v>
      </c>
      <c r="J16" s="23">
        <f t="shared" si="3"/>
        <v>359.73005734605471</v>
      </c>
      <c r="K16" s="21">
        <v>88.229380000000006</v>
      </c>
      <c r="L16" s="24">
        <f t="shared" si="4"/>
        <v>52662.930941999992</v>
      </c>
      <c r="M16" s="36">
        <f t="shared" si="5"/>
        <v>52662.930941999992</v>
      </c>
      <c r="N16" s="23">
        <v>2.7075295212977562E-2</v>
      </c>
      <c r="O16" s="24">
        <f t="shared" si="6"/>
        <v>18944439.167776976</v>
      </c>
      <c r="P16" s="36">
        <f t="shared" si="7"/>
        <v>18944439.167776976</v>
      </c>
      <c r="Q16" s="24">
        <v>2651920.615148271</v>
      </c>
      <c r="R16" s="24">
        <f t="shared" si="8"/>
        <v>39778809.227224067</v>
      </c>
      <c r="S16" s="23">
        <f t="shared" si="0"/>
        <v>0.4762445014269473</v>
      </c>
      <c r="T16" s="23">
        <f t="shared" si="1"/>
        <v>0.15874816714231577</v>
      </c>
      <c r="U16" s="23">
        <f t="shared" si="2"/>
        <v>1.428733504280842</v>
      </c>
    </row>
    <row r="17" spans="1:21" x14ac:dyDescent="0.25">
      <c r="A17" s="18" t="s">
        <v>52</v>
      </c>
      <c r="B17" s="18" t="s">
        <v>53</v>
      </c>
      <c r="C17" s="18" t="s">
        <v>29</v>
      </c>
      <c r="D17" s="18" t="s">
        <v>22</v>
      </c>
      <c r="E17" s="18" t="s">
        <v>54</v>
      </c>
      <c r="F17" s="20">
        <v>1251513</v>
      </c>
      <c r="G17" s="20">
        <v>1641988</v>
      </c>
      <c r="H17" s="21">
        <v>157</v>
      </c>
      <c r="I17" s="22">
        <v>1.1004620318530163</v>
      </c>
      <c r="J17" s="23">
        <f t="shared" si="3"/>
        <v>172.77253900092356</v>
      </c>
      <c r="K17" s="21">
        <v>94.135270000000006</v>
      </c>
      <c r="L17" s="24">
        <f t="shared" si="4"/>
        <v>96298.162832399932</v>
      </c>
      <c r="M17" s="36">
        <f t="shared" si="5"/>
        <v>96298.162832399932</v>
      </c>
      <c r="N17" s="23">
        <v>5.8613944938892791E-2</v>
      </c>
      <c r="O17" s="24">
        <f t="shared" si="6"/>
        <v>16637678.093678104</v>
      </c>
      <c r="P17" s="36">
        <f t="shared" si="7"/>
        <v>16637678.093678104</v>
      </c>
      <c r="Q17" s="24">
        <v>5828990079.2173672</v>
      </c>
      <c r="R17" s="24">
        <f t="shared" si="8"/>
        <v>87434851188.260513</v>
      </c>
      <c r="S17" s="23">
        <f t="shared" si="0"/>
        <v>1.9028657185971137E-4</v>
      </c>
      <c r="T17" s="23">
        <f t="shared" si="1"/>
        <v>6.3428857286570458E-5</v>
      </c>
      <c r="U17" s="23">
        <f t="shared" si="2"/>
        <v>5.7085971557913409E-4</v>
      </c>
    </row>
    <row r="18" spans="1:21" x14ac:dyDescent="0.25">
      <c r="A18" s="18" t="s">
        <v>55</v>
      </c>
      <c r="B18" s="18" t="s">
        <v>56</v>
      </c>
      <c r="C18" s="18" t="s">
        <v>14</v>
      </c>
      <c r="D18" s="18" t="s">
        <v>15</v>
      </c>
      <c r="F18" s="20">
        <v>151125475</v>
      </c>
      <c r="G18" s="20">
        <v>185063630</v>
      </c>
      <c r="H18" s="21">
        <v>64</v>
      </c>
      <c r="I18" s="22">
        <v>1.1004620318530163</v>
      </c>
      <c r="J18" s="23">
        <f t="shared" si="3"/>
        <v>70.429570038593042</v>
      </c>
      <c r="K18" s="21">
        <v>55.2</v>
      </c>
      <c r="L18" s="24">
        <f t="shared" si="4"/>
        <v>82908506.239999995</v>
      </c>
      <c r="M18" s="36">
        <f t="shared" si="5"/>
        <v>82908506.239999995</v>
      </c>
      <c r="N18" s="23">
        <v>5.8613944938892791E-2</v>
      </c>
      <c r="O18" s="24">
        <f t="shared" si="6"/>
        <v>5839210447.0252075</v>
      </c>
      <c r="P18" s="36">
        <f t="shared" si="7"/>
        <v>5839210447.0252075</v>
      </c>
      <c r="Q18" s="24">
        <v>5122872663.1918049</v>
      </c>
      <c r="R18" s="24">
        <f t="shared" si="8"/>
        <v>76843089947.877075</v>
      </c>
      <c r="S18" s="23">
        <f t="shared" si="0"/>
        <v>7.5988751246025679E-2</v>
      </c>
      <c r="T18" s="23">
        <f t="shared" si="1"/>
        <v>2.5329583748675225E-2</v>
      </c>
      <c r="U18" s="23">
        <f t="shared" si="2"/>
        <v>0.22796625373807705</v>
      </c>
    </row>
    <row r="19" spans="1:21" x14ac:dyDescent="0.25">
      <c r="A19" s="18" t="s">
        <v>57</v>
      </c>
      <c r="B19" s="18" t="s">
        <v>58</v>
      </c>
      <c r="C19" s="18" t="s">
        <v>29</v>
      </c>
      <c r="D19" s="18" t="s">
        <v>35</v>
      </c>
      <c r="E19" s="18"/>
      <c r="F19" s="20">
        <v>280396</v>
      </c>
      <c r="G19" s="20">
        <v>305709</v>
      </c>
      <c r="H19" s="21">
        <v>326.89002158513563</v>
      </c>
      <c r="I19" s="22">
        <v>1.1004620318530163</v>
      </c>
      <c r="J19" s="23">
        <f t="shared" si="3"/>
        <v>359.73005734605471</v>
      </c>
      <c r="K19" s="21">
        <v>88.229380000000006</v>
      </c>
      <c r="L19" s="24">
        <f t="shared" si="4"/>
        <v>35983.844695799991</v>
      </c>
      <c r="M19" s="36">
        <f t="shared" si="5"/>
        <v>35983.844695799991</v>
      </c>
      <c r="N19" s="23">
        <v>2.7075295212977562E-2</v>
      </c>
      <c r="O19" s="24">
        <f t="shared" si="6"/>
        <v>12944470.515951658</v>
      </c>
      <c r="P19" s="36">
        <f t="shared" si="7"/>
        <v>12944470.515951658</v>
      </c>
      <c r="Q19" s="24">
        <v>1055471.7325739102</v>
      </c>
      <c r="R19" s="24">
        <f t="shared" si="8"/>
        <v>15832075.988608653</v>
      </c>
      <c r="S19" s="23">
        <f t="shared" si="0"/>
        <v>0.81761043373372777</v>
      </c>
      <c r="T19" s="23">
        <f t="shared" si="1"/>
        <v>0.27253681124457591</v>
      </c>
      <c r="U19" s="23">
        <f t="shared" si="2"/>
        <v>2.4528313012011833</v>
      </c>
    </row>
    <row r="20" spans="1:21" x14ac:dyDescent="0.25">
      <c r="A20" s="18" t="s">
        <v>59</v>
      </c>
      <c r="B20" s="18" t="s">
        <v>60</v>
      </c>
      <c r="C20" s="18" t="s">
        <v>18</v>
      </c>
      <c r="D20" s="18" t="s">
        <v>19</v>
      </c>
      <c r="F20" s="20">
        <v>9490000</v>
      </c>
      <c r="G20" s="20">
        <v>8488334</v>
      </c>
      <c r="H20" s="20" t="s">
        <v>232</v>
      </c>
      <c r="I20" s="22">
        <v>1.1004620318530163</v>
      </c>
      <c r="J20" s="23" t="e">
        <f t="shared" si="3"/>
        <v>#VALUE!</v>
      </c>
      <c r="K20" s="21">
        <v>100</v>
      </c>
      <c r="L20" s="24">
        <f t="shared" si="4"/>
        <v>0</v>
      </c>
      <c r="M20" s="36">
        <f t="shared" si="5"/>
        <v>0</v>
      </c>
      <c r="N20" s="23">
        <v>0</v>
      </c>
      <c r="O20" s="24" t="e">
        <f t="shared" si="6"/>
        <v>#VALUE!</v>
      </c>
      <c r="P20" s="36">
        <f t="shared" si="7"/>
        <v>0</v>
      </c>
      <c r="Q20" s="24">
        <v>1379214938.7502549</v>
      </c>
      <c r="R20" s="24">
        <f t="shared" si="8"/>
        <v>20688224081.253822</v>
      </c>
      <c r="S20" s="23" t="e">
        <f t="shared" si="0"/>
        <v>#VALUE!</v>
      </c>
      <c r="T20" s="23" t="e">
        <f t="shared" si="1"/>
        <v>#VALUE!</v>
      </c>
      <c r="U20" s="23" t="e">
        <f t="shared" si="2"/>
        <v>#VALUE!</v>
      </c>
    </row>
    <row r="21" spans="1:21" x14ac:dyDescent="0.25">
      <c r="A21" s="18" t="s">
        <v>61</v>
      </c>
      <c r="B21" s="18" t="s">
        <v>62</v>
      </c>
      <c r="C21" s="18" t="s">
        <v>45</v>
      </c>
      <c r="D21" s="18" t="s">
        <v>19</v>
      </c>
      <c r="F21" s="20">
        <v>10895586</v>
      </c>
      <c r="G21" s="20">
        <v>11664194</v>
      </c>
      <c r="H21" s="20" t="s">
        <v>232</v>
      </c>
      <c r="I21" s="22">
        <v>1.1004620318530163</v>
      </c>
      <c r="J21" s="23" t="e">
        <f t="shared" si="3"/>
        <v>#VALUE!</v>
      </c>
      <c r="K21" s="21">
        <v>100</v>
      </c>
      <c r="L21" s="24">
        <f t="shared" si="4"/>
        <v>0</v>
      </c>
      <c r="M21" s="36">
        <f t="shared" si="5"/>
        <v>0</v>
      </c>
      <c r="N21" s="23">
        <v>0</v>
      </c>
      <c r="O21" s="24" t="e">
        <f t="shared" si="6"/>
        <v>#VALUE!</v>
      </c>
      <c r="P21" s="36">
        <f t="shared" si="7"/>
        <v>0</v>
      </c>
      <c r="Q21" s="24">
        <v>306181202.30001646</v>
      </c>
      <c r="R21" s="24">
        <f t="shared" si="8"/>
        <v>4592718034.500247</v>
      </c>
      <c r="S21" s="23" t="e">
        <f t="shared" si="0"/>
        <v>#VALUE!</v>
      </c>
      <c r="T21" s="23" t="e">
        <f t="shared" si="1"/>
        <v>#VALUE!</v>
      </c>
      <c r="U21" s="23" t="e">
        <f t="shared" si="2"/>
        <v>#VALUE!</v>
      </c>
    </row>
    <row r="22" spans="1:21" x14ac:dyDescent="0.25">
      <c r="A22" s="18" t="s">
        <v>63</v>
      </c>
      <c r="B22" s="18" t="s">
        <v>64</v>
      </c>
      <c r="C22" s="18" t="s">
        <v>18</v>
      </c>
      <c r="D22" s="18" t="s">
        <v>35</v>
      </c>
      <c r="E22" s="18"/>
      <c r="F22" s="20">
        <v>308595</v>
      </c>
      <c r="G22" s="20">
        <v>461277</v>
      </c>
      <c r="H22" s="21">
        <v>326.89002158513563</v>
      </c>
      <c r="I22" s="22">
        <v>1.1004620318530163</v>
      </c>
      <c r="J22" s="23">
        <f t="shared" si="3"/>
        <v>359.73005734605471</v>
      </c>
      <c r="K22" s="21">
        <v>88.229380000000006</v>
      </c>
      <c r="L22" s="24">
        <f t="shared" si="4"/>
        <v>54295.162817399992</v>
      </c>
      <c r="M22" s="36">
        <f t="shared" si="5"/>
        <v>54295.162817399992</v>
      </c>
      <c r="N22" s="23">
        <v>2.7075295212977562E-2</v>
      </c>
      <c r="O22" s="24">
        <f t="shared" si="6"/>
        <v>19531602.033916678</v>
      </c>
      <c r="P22" s="36">
        <f t="shared" si="7"/>
        <v>19531602.033916678</v>
      </c>
      <c r="Q22" s="24">
        <v>14107420.288951172</v>
      </c>
      <c r="R22" s="24">
        <f t="shared" si="8"/>
        <v>211611304.33426759</v>
      </c>
      <c r="S22" s="23">
        <f t="shared" si="0"/>
        <v>9.22994265139256E-2</v>
      </c>
      <c r="T22" s="23">
        <f t="shared" si="1"/>
        <v>3.0766475504641871E-2</v>
      </c>
      <c r="U22" s="23">
        <f t="shared" si="2"/>
        <v>0.27689827954177682</v>
      </c>
    </row>
    <row r="23" spans="1:21" x14ac:dyDescent="0.25">
      <c r="A23" s="18" t="s">
        <v>65</v>
      </c>
      <c r="B23" s="18" t="s">
        <v>66</v>
      </c>
      <c r="C23" s="18" t="s">
        <v>14</v>
      </c>
      <c r="D23" s="18" t="s">
        <v>32</v>
      </c>
      <c r="F23" s="20">
        <v>9509798</v>
      </c>
      <c r="G23" s="20">
        <v>15506762</v>
      </c>
      <c r="H23" s="21">
        <v>326.89002158513563</v>
      </c>
      <c r="I23" s="22">
        <v>1.1004620318530163</v>
      </c>
      <c r="J23" s="23">
        <f t="shared" si="3"/>
        <v>359.73005734605471</v>
      </c>
      <c r="K23" s="21">
        <v>27.9</v>
      </c>
      <c r="L23" s="24">
        <f t="shared" si="4"/>
        <v>11180375.402000001</v>
      </c>
      <c r="M23" s="36">
        <f t="shared" si="5"/>
        <v>11180375.402000001</v>
      </c>
      <c r="N23" s="23">
        <v>2.7075295212977562E-2</v>
      </c>
      <c r="O23" s="24">
        <f t="shared" si="6"/>
        <v>4021917084.5118799</v>
      </c>
      <c r="P23" s="36">
        <f t="shared" si="7"/>
        <v>4021917084.5118799</v>
      </c>
      <c r="Q23" s="24">
        <v>358790876.29676551</v>
      </c>
      <c r="R23" s="24">
        <f t="shared" si="8"/>
        <v>5381863144.4514828</v>
      </c>
      <c r="S23" s="23">
        <f t="shared" si="0"/>
        <v>0.74730943105796721</v>
      </c>
      <c r="T23" s="23">
        <f t="shared" si="1"/>
        <v>0.24910314368598907</v>
      </c>
      <c r="U23" s="23">
        <f t="shared" si="2"/>
        <v>2.2419282931739017</v>
      </c>
    </row>
    <row r="24" spans="1:21" x14ac:dyDescent="0.25">
      <c r="A24" s="18" t="s">
        <v>67</v>
      </c>
      <c r="B24" s="18" t="s">
        <v>68</v>
      </c>
      <c r="C24" s="18" t="s">
        <v>29</v>
      </c>
      <c r="D24" s="18" t="s">
        <v>69</v>
      </c>
      <c r="F24" s="20">
        <v>65124</v>
      </c>
      <c r="G24" s="20">
        <v>66524</v>
      </c>
      <c r="H24" s="20" t="s">
        <v>232</v>
      </c>
      <c r="I24" s="22">
        <v>1.1004620318530163</v>
      </c>
      <c r="J24" s="23" t="e">
        <f t="shared" si="3"/>
        <v>#VALUE!</v>
      </c>
      <c r="K24" s="21">
        <v>100</v>
      </c>
      <c r="L24" s="24">
        <f t="shared" si="4"/>
        <v>0</v>
      </c>
      <c r="M24" s="36">
        <f t="shared" si="5"/>
        <v>0</v>
      </c>
      <c r="N24" s="23">
        <v>0</v>
      </c>
      <c r="O24" s="24" t="e">
        <f t="shared" si="6"/>
        <v>#VALUE!</v>
      </c>
      <c r="P24" s="36">
        <f t="shared" si="7"/>
        <v>0</v>
      </c>
      <c r="Q24" s="24">
        <v>0</v>
      </c>
      <c r="R24" s="24">
        <f t="shared" si="8"/>
        <v>0</v>
      </c>
      <c r="S24" s="23" t="e">
        <f t="shared" si="0"/>
        <v>#VALUE!</v>
      </c>
      <c r="T24" s="23" t="e">
        <f t="shared" si="1"/>
        <v>#VALUE!</v>
      </c>
      <c r="U24" s="23" t="e">
        <f t="shared" si="2"/>
        <v>#VALUE!</v>
      </c>
    </row>
    <row r="25" spans="1:21" x14ac:dyDescent="0.25">
      <c r="A25" s="18" t="s">
        <v>70</v>
      </c>
      <c r="B25" s="18" t="s">
        <v>71</v>
      </c>
      <c r="C25" s="18" t="s">
        <v>40</v>
      </c>
      <c r="D25" s="18" t="s">
        <v>15</v>
      </c>
      <c r="F25" s="20">
        <v>716939</v>
      </c>
      <c r="G25" s="20">
        <v>897761</v>
      </c>
      <c r="H25" s="21">
        <v>64</v>
      </c>
      <c r="I25" s="22">
        <v>1.1004620318530163</v>
      </c>
      <c r="J25" s="23">
        <f t="shared" si="3"/>
        <v>70.429570038593042</v>
      </c>
      <c r="K25" s="21">
        <v>72</v>
      </c>
      <c r="L25" s="24">
        <f t="shared" si="4"/>
        <v>251373.08000000002</v>
      </c>
      <c r="M25" s="36">
        <f t="shared" si="5"/>
        <v>251373.08000000002</v>
      </c>
      <c r="N25" s="23">
        <v>5.8613944938892791E-2</v>
      </c>
      <c r="O25" s="24">
        <f t="shared" si="6"/>
        <v>17704097.943676852</v>
      </c>
      <c r="P25" s="36">
        <f t="shared" si="7"/>
        <v>17704097.943676852</v>
      </c>
      <c r="Q25" s="24">
        <v>384755041.17597884</v>
      </c>
      <c r="R25" s="24">
        <f t="shared" si="8"/>
        <v>5771325617.6396828</v>
      </c>
      <c r="S25" s="23">
        <f t="shared" si="0"/>
        <v>3.0675964443186887E-3</v>
      </c>
      <c r="T25" s="23">
        <f t="shared" si="1"/>
        <v>1.0225321481062296E-3</v>
      </c>
      <c r="U25" s="23">
        <f t="shared" si="2"/>
        <v>9.2027893329560666E-3</v>
      </c>
    </row>
    <row r="26" spans="1:21" x14ac:dyDescent="0.25">
      <c r="A26" s="18" t="s">
        <v>72</v>
      </c>
      <c r="B26" s="18" t="s">
        <v>73</v>
      </c>
      <c r="C26" s="18" t="s">
        <v>40</v>
      </c>
      <c r="D26" s="18" t="s">
        <v>35</v>
      </c>
      <c r="E26" s="18"/>
      <c r="F26" s="20">
        <v>10156601</v>
      </c>
      <c r="G26" s="24">
        <v>13665316</v>
      </c>
      <c r="H26" s="21">
        <v>326.89002158513563</v>
      </c>
      <c r="I26" s="22">
        <v>1.1004620318530163</v>
      </c>
      <c r="J26" s="23">
        <f t="shared" si="3"/>
        <v>359.73005734605471</v>
      </c>
      <c r="K26" s="21">
        <v>80.2</v>
      </c>
      <c r="L26" s="24">
        <f t="shared" si="4"/>
        <v>2705732.5679999995</v>
      </c>
      <c r="M26" s="36">
        <f t="shared" si="5"/>
        <v>2705732.5679999995</v>
      </c>
      <c r="N26" s="23">
        <v>2.7075295212977562E-2</v>
      </c>
      <c r="O26" s="24">
        <f t="shared" si="6"/>
        <v>973333331.84972763</v>
      </c>
      <c r="P26" s="36">
        <f t="shared" si="7"/>
        <v>973333331.84972763</v>
      </c>
      <c r="Q26" s="24">
        <v>3943593093.8863621</v>
      </c>
      <c r="R26" s="24">
        <f t="shared" si="8"/>
        <v>59153896408.295433</v>
      </c>
      <c r="S26" s="23">
        <f t="shared" si="0"/>
        <v>1.6454255610341036E-2</v>
      </c>
      <c r="T26" s="23">
        <f t="shared" si="1"/>
        <v>5.4847518701136794E-3</v>
      </c>
      <c r="U26" s="23">
        <f t="shared" si="2"/>
        <v>4.9362766831023107E-2</v>
      </c>
    </row>
    <row r="27" spans="1:21" x14ac:dyDescent="0.25">
      <c r="A27" s="18" t="s">
        <v>74</v>
      </c>
      <c r="B27" s="18" t="s">
        <v>75</v>
      </c>
      <c r="C27" s="18" t="s">
        <v>18</v>
      </c>
      <c r="D27" s="18" t="s">
        <v>19</v>
      </c>
      <c r="F27" s="20">
        <v>3845929</v>
      </c>
      <c r="G27" s="20">
        <v>3700255</v>
      </c>
      <c r="H27" s="20" t="s">
        <v>232</v>
      </c>
      <c r="I27" s="22">
        <v>1.1004620318530163</v>
      </c>
      <c r="J27" s="23" t="e">
        <f t="shared" si="3"/>
        <v>#VALUE!</v>
      </c>
      <c r="K27" s="21">
        <v>99.7</v>
      </c>
      <c r="L27" s="24">
        <f t="shared" si="4"/>
        <v>11100.76500000001</v>
      </c>
      <c r="M27" s="36">
        <f t="shared" si="5"/>
        <v>11100.76500000001</v>
      </c>
      <c r="N27" s="23">
        <v>0</v>
      </c>
      <c r="O27" s="24" t="e">
        <f t="shared" si="6"/>
        <v>#VALUE!</v>
      </c>
      <c r="P27" s="36">
        <f t="shared" si="7"/>
        <v>0</v>
      </c>
      <c r="Q27" s="24">
        <v>595625627.44246328</v>
      </c>
      <c r="R27" s="24">
        <f t="shared" si="8"/>
        <v>8934384411.6369495</v>
      </c>
      <c r="S27" s="23" t="e">
        <f t="shared" si="0"/>
        <v>#VALUE!</v>
      </c>
      <c r="T27" s="23" t="e">
        <f t="shared" si="1"/>
        <v>#VALUE!</v>
      </c>
      <c r="U27" s="23" t="e">
        <f t="shared" si="2"/>
        <v>#VALUE!</v>
      </c>
    </row>
    <row r="28" spans="1:21" x14ac:dyDescent="0.25">
      <c r="A28" s="18" t="s">
        <v>76</v>
      </c>
      <c r="B28" s="18" t="s">
        <v>77</v>
      </c>
      <c r="C28" s="18" t="s">
        <v>18</v>
      </c>
      <c r="D28" s="18" t="s">
        <v>32</v>
      </c>
      <c r="F28" s="20">
        <v>1969341</v>
      </c>
      <c r="G28" s="20">
        <v>2347860</v>
      </c>
      <c r="H28" s="21">
        <v>326.89002158513563</v>
      </c>
      <c r="I28" s="22">
        <v>1.1004620318530163</v>
      </c>
      <c r="J28" s="23">
        <f t="shared" si="3"/>
        <v>359.73005734605471</v>
      </c>
      <c r="K28" s="21">
        <v>43.1</v>
      </c>
      <c r="L28" s="24">
        <f t="shared" si="4"/>
        <v>1335932.3399999999</v>
      </c>
      <c r="M28" s="36">
        <f t="shared" si="5"/>
        <v>1335932.3399999999</v>
      </c>
      <c r="N28" s="23">
        <v>2.7075295212977562E-2</v>
      </c>
      <c r="O28" s="24">
        <f t="shared" si="6"/>
        <v>480575017.27864897</v>
      </c>
      <c r="P28" s="36">
        <f t="shared" si="7"/>
        <v>480575017.27864897</v>
      </c>
      <c r="Q28" s="24">
        <v>686157389.38852191</v>
      </c>
      <c r="R28" s="24">
        <f t="shared" si="8"/>
        <v>10292360840.827829</v>
      </c>
      <c r="S28" s="23">
        <f t="shared" si="0"/>
        <v>4.6692398829654286E-2</v>
      </c>
      <c r="T28" s="23">
        <f t="shared" si="1"/>
        <v>1.5564132943218095E-2</v>
      </c>
      <c r="U28" s="23">
        <f t="shared" si="2"/>
        <v>0.14007719648896289</v>
      </c>
    </row>
    <row r="29" spans="1:21" x14ac:dyDescent="0.25">
      <c r="A29" s="18" t="s">
        <v>78</v>
      </c>
      <c r="B29" s="18" t="s">
        <v>79</v>
      </c>
      <c r="C29" s="18" t="s">
        <v>18</v>
      </c>
      <c r="D29" s="18" t="s">
        <v>35</v>
      </c>
      <c r="E29" s="18"/>
      <c r="F29" s="20">
        <v>195210154</v>
      </c>
      <c r="G29" s="20">
        <v>222748294</v>
      </c>
      <c r="H29" s="21">
        <v>326.89002158513563</v>
      </c>
      <c r="I29" s="22">
        <v>1.1004620318530163</v>
      </c>
      <c r="J29" s="23">
        <f t="shared" si="3"/>
        <v>359.73005734605471</v>
      </c>
      <c r="K29" s="21">
        <v>98.93</v>
      </c>
      <c r="L29" s="24">
        <f t="shared" si="4"/>
        <v>2383406.7457999848</v>
      </c>
      <c r="M29" s="36">
        <f t="shared" si="5"/>
        <v>2383406.7457999848</v>
      </c>
      <c r="N29" s="23">
        <v>2.7075295212977562E-2</v>
      </c>
      <c r="O29" s="24">
        <f t="shared" si="6"/>
        <v>857383045.34560215</v>
      </c>
      <c r="P29" s="36">
        <f t="shared" si="7"/>
        <v>857383045.34560215</v>
      </c>
      <c r="Q29" s="24">
        <v>131651047125.59688</v>
      </c>
      <c r="R29" s="24">
        <f t="shared" si="8"/>
        <v>1974765706883.9531</v>
      </c>
      <c r="S29" s="23">
        <f t="shared" si="0"/>
        <v>4.341695029221946E-4</v>
      </c>
      <c r="T29" s="23">
        <f t="shared" si="1"/>
        <v>1.4472316764073154E-4</v>
      </c>
      <c r="U29" s="23">
        <f t="shared" si="2"/>
        <v>1.3025085087665837E-3</v>
      </c>
    </row>
    <row r="30" spans="1:21" x14ac:dyDescent="0.25">
      <c r="A30" s="18" t="s">
        <v>80</v>
      </c>
      <c r="B30" s="18" t="s">
        <v>81</v>
      </c>
      <c r="C30" s="18" t="s">
        <v>29</v>
      </c>
      <c r="D30" s="18" t="s">
        <v>26</v>
      </c>
      <c r="F30" s="20">
        <v>400569</v>
      </c>
      <c r="G30" s="20">
        <v>499424</v>
      </c>
      <c r="H30" s="21">
        <v>157</v>
      </c>
      <c r="I30" s="22">
        <v>1.1004620318530163</v>
      </c>
      <c r="J30" s="23">
        <f t="shared" si="3"/>
        <v>172.77253900092356</v>
      </c>
      <c r="K30" s="21">
        <v>72.598820000000003</v>
      </c>
      <c r="L30" s="24">
        <f t="shared" si="4"/>
        <v>136848.06920319996</v>
      </c>
      <c r="M30" s="36">
        <f t="shared" si="5"/>
        <v>136848.06920319996</v>
      </c>
      <c r="N30" s="23">
        <v>0.11040303634246594</v>
      </c>
      <c r="O30" s="24">
        <f t="shared" si="6"/>
        <v>23643588.373610951</v>
      </c>
      <c r="P30" s="36">
        <f t="shared" si="7"/>
        <v>23643588.373610951</v>
      </c>
      <c r="Q30" s="24">
        <v>5618749657.8090668</v>
      </c>
      <c r="R30" s="24">
        <f t="shared" si="8"/>
        <v>84281244867.136002</v>
      </c>
      <c r="S30" s="23">
        <f t="shared" si="0"/>
        <v>2.8053202596714792E-4</v>
      </c>
      <c r="T30" s="23">
        <f t="shared" si="1"/>
        <v>9.3510675322382641E-5</v>
      </c>
      <c r="U30" s="23">
        <f t="shared" si="2"/>
        <v>8.4159607790144388E-4</v>
      </c>
    </row>
    <row r="31" spans="1:21" x14ac:dyDescent="0.25">
      <c r="A31" s="18" t="s">
        <v>82</v>
      </c>
      <c r="B31" s="18" t="s">
        <v>83</v>
      </c>
      <c r="C31" s="18" t="s">
        <v>18</v>
      </c>
      <c r="D31" s="18" t="s">
        <v>19</v>
      </c>
      <c r="F31" s="20">
        <v>7395599</v>
      </c>
      <c r="G31" s="20">
        <v>6213179</v>
      </c>
      <c r="H31" s="20" t="s">
        <v>232</v>
      </c>
      <c r="I31" s="22">
        <v>1.1004620318530163</v>
      </c>
      <c r="J31" s="23" t="e">
        <f t="shared" si="3"/>
        <v>#VALUE!</v>
      </c>
      <c r="K31" s="21">
        <v>100</v>
      </c>
      <c r="L31" s="24">
        <f t="shared" si="4"/>
        <v>0</v>
      </c>
      <c r="M31" s="36">
        <f t="shared" si="5"/>
        <v>0</v>
      </c>
      <c r="N31" s="23">
        <v>0</v>
      </c>
      <c r="O31" s="24" t="e">
        <f t="shared" si="6"/>
        <v>#VALUE!</v>
      </c>
      <c r="P31" s="36">
        <f t="shared" si="7"/>
        <v>0</v>
      </c>
      <c r="Q31" s="24">
        <v>1236205124.2998753</v>
      </c>
      <c r="R31" s="24">
        <f t="shared" si="8"/>
        <v>18543076864.498131</v>
      </c>
      <c r="S31" s="23" t="e">
        <f t="shared" si="0"/>
        <v>#VALUE!</v>
      </c>
      <c r="T31" s="23" t="e">
        <f t="shared" si="1"/>
        <v>#VALUE!</v>
      </c>
      <c r="U31" s="23" t="e">
        <f t="shared" si="2"/>
        <v>#VALUE!</v>
      </c>
    </row>
    <row r="32" spans="1:21" x14ac:dyDescent="0.25">
      <c r="A32" s="18" t="s">
        <v>84</v>
      </c>
      <c r="B32" s="18" t="s">
        <v>85</v>
      </c>
      <c r="C32" s="18" t="s">
        <v>14</v>
      </c>
      <c r="D32" s="18" t="s">
        <v>32</v>
      </c>
      <c r="F32" s="20">
        <v>15540284</v>
      </c>
      <c r="G32" s="20">
        <v>26564341</v>
      </c>
      <c r="H32" s="21">
        <v>326.89002158513563</v>
      </c>
      <c r="I32" s="22">
        <v>1.1004620318530163</v>
      </c>
      <c r="J32" s="23">
        <f t="shared" si="3"/>
        <v>359.73005734605471</v>
      </c>
      <c r="K32" s="21">
        <v>13.1</v>
      </c>
      <c r="L32" s="24">
        <f t="shared" si="4"/>
        <v>23084412.329</v>
      </c>
      <c r="M32" s="36">
        <f t="shared" si="5"/>
        <v>23084412.329</v>
      </c>
      <c r="N32" s="23">
        <v>2.7075295212977562E-2</v>
      </c>
      <c r="O32" s="24">
        <f t="shared" si="6"/>
        <v>8304156970.9111423</v>
      </c>
      <c r="P32" s="36">
        <f t="shared" si="7"/>
        <v>8304156970.9111423</v>
      </c>
      <c r="Q32" s="24">
        <v>1409883719.9157445</v>
      </c>
      <c r="R32" s="24">
        <f t="shared" si="8"/>
        <v>21148255798.736168</v>
      </c>
      <c r="S32" s="23">
        <f t="shared" si="0"/>
        <v>0.39266391753249946</v>
      </c>
      <c r="T32" s="23">
        <f t="shared" si="1"/>
        <v>0.13088797251083314</v>
      </c>
      <c r="U32" s="23">
        <f t="shared" si="2"/>
        <v>1.1779917525974986</v>
      </c>
    </row>
    <row r="33" spans="1:21" x14ac:dyDescent="0.25">
      <c r="A33" s="18" t="s">
        <v>86</v>
      </c>
      <c r="B33" s="18" t="s">
        <v>87</v>
      </c>
      <c r="C33" s="18" t="s">
        <v>14</v>
      </c>
      <c r="D33" s="18" t="s">
        <v>32</v>
      </c>
      <c r="F33" s="20">
        <v>9232753</v>
      </c>
      <c r="G33" s="20">
        <v>16392402.999999998</v>
      </c>
      <c r="H33" s="21">
        <v>326.89002158513563</v>
      </c>
      <c r="I33" s="22">
        <v>1.1004620318530163</v>
      </c>
      <c r="J33" s="23">
        <f t="shared" si="3"/>
        <v>359.73005734605471</v>
      </c>
      <c r="K33" s="21">
        <v>5.3</v>
      </c>
      <c r="L33" s="24">
        <f t="shared" si="4"/>
        <v>15523605.640999997</v>
      </c>
      <c r="M33" s="36">
        <f t="shared" si="5"/>
        <v>15523605.640999997</v>
      </c>
      <c r="N33" s="23">
        <v>2.7075295212977562E-2</v>
      </c>
      <c r="O33" s="24">
        <f t="shared" si="6"/>
        <v>5584307547.4544668</v>
      </c>
      <c r="P33" s="36">
        <f t="shared" si="7"/>
        <v>5584307547.4544668</v>
      </c>
      <c r="Q33" s="24">
        <v>551752484.64932442</v>
      </c>
      <c r="R33" s="24">
        <f t="shared" si="8"/>
        <v>8276287269.7398663</v>
      </c>
      <c r="S33" s="23">
        <f t="shared" si="0"/>
        <v>0.67473582845197544</v>
      </c>
      <c r="T33" s="23">
        <f t="shared" si="1"/>
        <v>0.22491194281732518</v>
      </c>
      <c r="U33" s="23">
        <f t="shared" si="2"/>
        <v>2.0242074853559262</v>
      </c>
    </row>
    <row r="34" spans="1:21" x14ac:dyDescent="0.25">
      <c r="A34" s="18" t="s">
        <v>88</v>
      </c>
      <c r="B34" s="18" t="s">
        <v>89</v>
      </c>
      <c r="C34" s="18" t="s">
        <v>40</v>
      </c>
      <c r="D34" s="18" t="s">
        <v>32</v>
      </c>
      <c r="F34" s="20">
        <v>487601</v>
      </c>
      <c r="G34" s="24">
        <v>576734</v>
      </c>
      <c r="H34" s="21">
        <v>326.89002158513563</v>
      </c>
      <c r="I34" s="22">
        <v>1.1004620318530163</v>
      </c>
      <c r="J34" s="23">
        <f t="shared" si="3"/>
        <v>359.73005734605471</v>
      </c>
      <c r="K34" s="21">
        <v>67</v>
      </c>
      <c r="L34" s="24">
        <f t="shared" si="4"/>
        <v>190322.21999999997</v>
      </c>
      <c r="M34" s="36">
        <f t="shared" si="5"/>
        <v>190322.21999999997</v>
      </c>
      <c r="N34" s="23">
        <v>2.7075295212977562E-2</v>
      </c>
      <c r="O34" s="24">
        <f t="shared" si="6"/>
        <v>68464623.114828423</v>
      </c>
      <c r="P34" s="36">
        <f t="shared" si="7"/>
        <v>68464623.114828423</v>
      </c>
      <c r="Q34" s="24">
        <v>9544520.9551698435</v>
      </c>
      <c r="R34" s="24">
        <f t="shared" si="8"/>
        <v>143167814.32754764</v>
      </c>
      <c r="S34" s="23">
        <f t="shared" si="0"/>
        <v>0.4782123931723305</v>
      </c>
      <c r="T34" s="23">
        <f t="shared" si="1"/>
        <v>0.1594041310574435</v>
      </c>
      <c r="U34" s="23">
        <f t="shared" si="2"/>
        <v>1.4346371795169917</v>
      </c>
    </row>
    <row r="35" spans="1:21" x14ac:dyDescent="0.25">
      <c r="A35" s="18" t="s">
        <v>90</v>
      </c>
      <c r="B35" s="18" t="s">
        <v>91</v>
      </c>
      <c r="C35" s="18" t="s">
        <v>14</v>
      </c>
      <c r="D35" s="18" t="s">
        <v>26</v>
      </c>
      <c r="F35" s="20">
        <v>14364931</v>
      </c>
      <c r="G35" s="20">
        <v>19143612</v>
      </c>
      <c r="H35" s="21">
        <v>157</v>
      </c>
      <c r="I35" s="22">
        <v>1.1004620318530163</v>
      </c>
      <c r="J35" s="23">
        <f t="shared" si="3"/>
        <v>172.77253900092356</v>
      </c>
      <c r="K35" s="21">
        <v>31.1</v>
      </c>
      <c r="L35" s="24">
        <f t="shared" si="4"/>
        <v>13189948.668000001</v>
      </c>
      <c r="M35" s="36">
        <f t="shared" si="5"/>
        <v>13189948.668000001</v>
      </c>
      <c r="N35" s="23">
        <v>0.11040303634246594</v>
      </c>
      <c r="O35" s="24">
        <f t="shared" si="6"/>
        <v>2278860920.66221</v>
      </c>
      <c r="P35" s="36">
        <f t="shared" si="7"/>
        <v>2278860920.66221</v>
      </c>
      <c r="Q35" s="24">
        <v>433167180.30280077</v>
      </c>
      <c r="R35" s="24">
        <f t="shared" si="8"/>
        <v>6497507704.5420113</v>
      </c>
      <c r="S35" s="23">
        <f t="shared" si="0"/>
        <v>0.35072846763524379</v>
      </c>
      <c r="T35" s="23">
        <f t="shared" si="1"/>
        <v>0.11690948921174793</v>
      </c>
      <c r="U35" s="23">
        <f t="shared" si="2"/>
        <v>1.0521854029057314</v>
      </c>
    </row>
    <row r="36" spans="1:21" x14ac:dyDescent="0.25">
      <c r="A36" s="18" t="s">
        <v>92</v>
      </c>
      <c r="B36" s="18" t="s">
        <v>93</v>
      </c>
      <c r="C36" s="18" t="s">
        <v>40</v>
      </c>
      <c r="D36" s="18" t="s">
        <v>32</v>
      </c>
      <c r="F36" s="20">
        <v>20624343</v>
      </c>
      <c r="G36" s="20">
        <v>33074214.999999996</v>
      </c>
      <c r="H36" s="21">
        <v>326.89002158513563</v>
      </c>
      <c r="I36" s="22">
        <v>1.1004620318530163</v>
      </c>
      <c r="J36" s="23">
        <f t="shared" si="3"/>
        <v>359.73005734605471</v>
      </c>
      <c r="K36" s="21">
        <v>49</v>
      </c>
      <c r="L36" s="24">
        <f t="shared" si="4"/>
        <v>16867849.649999999</v>
      </c>
      <c r="M36" s="36">
        <f t="shared" si="5"/>
        <v>16867849.649999999</v>
      </c>
      <c r="N36" s="23">
        <v>2.7075295212977562E-2</v>
      </c>
      <c r="O36" s="24">
        <f t="shared" si="6"/>
        <v>6067872521.899128</v>
      </c>
      <c r="P36" s="36">
        <f t="shared" si="7"/>
        <v>6067872521.899128</v>
      </c>
      <c r="Q36" s="24">
        <v>2416929494.6420951</v>
      </c>
      <c r="R36" s="24">
        <f t="shared" si="8"/>
        <v>36253942419.631424</v>
      </c>
      <c r="S36" s="23">
        <f t="shared" si="0"/>
        <v>0.16737138410120575</v>
      </c>
      <c r="T36" s="23">
        <f t="shared" si="1"/>
        <v>5.5790461367068583E-2</v>
      </c>
      <c r="U36" s="23">
        <f t="shared" si="2"/>
        <v>0.50211415230361722</v>
      </c>
    </row>
    <row r="37" spans="1:21" x14ac:dyDescent="0.25">
      <c r="A37" s="18" t="s">
        <v>94</v>
      </c>
      <c r="B37" s="18" t="s">
        <v>95</v>
      </c>
      <c r="C37" s="18" t="s">
        <v>45</v>
      </c>
      <c r="D37" s="18" t="s">
        <v>69</v>
      </c>
      <c r="F37" s="20">
        <v>34005274</v>
      </c>
      <c r="G37" s="20">
        <v>40616997</v>
      </c>
      <c r="H37" s="20" t="s">
        <v>232</v>
      </c>
      <c r="I37" s="22">
        <v>1.1004620318530163</v>
      </c>
      <c r="J37" s="23" t="e">
        <f t="shared" si="3"/>
        <v>#VALUE!</v>
      </c>
      <c r="K37" s="21">
        <v>100</v>
      </c>
      <c r="L37" s="24">
        <f t="shared" si="4"/>
        <v>0</v>
      </c>
      <c r="M37" s="36">
        <f t="shared" si="5"/>
        <v>0</v>
      </c>
      <c r="N37" s="23">
        <v>0</v>
      </c>
      <c r="O37" s="24" t="e">
        <f t="shared" si="6"/>
        <v>#VALUE!</v>
      </c>
      <c r="P37" s="36">
        <f t="shared" si="7"/>
        <v>0</v>
      </c>
      <c r="Q37" s="24">
        <v>66550602359.385544</v>
      </c>
      <c r="R37" s="24">
        <f t="shared" si="8"/>
        <v>998259035390.7832</v>
      </c>
      <c r="S37" s="23" t="e">
        <f t="shared" si="0"/>
        <v>#VALUE!</v>
      </c>
      <c r="T37" s="23" t="e">
        <f t="shared" si="1"/>
        <v>#VALUE!</v>
      </c>
      <c r="U37" s="23" t="e">
        <f t="shared" si="2"/>
        <v>#VALUE!</v>
      </c>
    </row>
    <row r="38" spans="1:21" x14ac:dyDescent="0.25">
      <c r="A38" s="18" t="s">
        <v>96</v>
      </c>
      <c r="B38" s="18" t="s">
        <v>97</v>
      </c>
      <c r="C38" s="18" t="s">
        <v>29</v>
      </c>
      <c r="D38" s="18" t="s">
        <v>35</v>
      </c>
      <c r="E38" s="18"/>
      <c r="F38" s="20">
        <v>55509</v>
      </c>
      <c r="G38" s="20">
        <v>66552</v>
      </c>
      <c r="H38" s="21">
        <v>326.89002158513563</v>
      </c>
      <c r="I38" s="22">
        <v>1.1004620318530163</v>
      </c>
      <c r="J38" s="23">
        <f t="shared" si="3"/>
        <v>359.73005734605471</v>
      </c>
      <c r="K38" s="21">
        <v>88.229380000000006</v>
      </c>
      <c r="L38" s="24">
        <f t="shared" si="4"/>
        <v>7833.5830223999992</v>
      </c>
      <c r="M38" s="36">
        <f t="shared" si="5"/>
        <v>7833.5830223999992</v>
      </c>
      <c r="N38" s="23">
        <v>2.7075295212977562E-2</v>
      </c>
      <c r="O38" s="24">
        <f t="shared" si="6"/>
        <v>2817975.2698730323</v>
      </c>
      <c r="P38" s="36">
        <f t="shared" si="7"/>
        <v>2817975.2698730323</v>
      </c>
      <c r="Q38" s="24" t="s">
        <v>232</v>
      </c>
      <c r="R38" s="24" t="e">
        <f t="shared" si="8"/>
        <v>#VALUE!</v>
      </c>
      <c r="S38" s="23" t="e">
        <f t="shared" si="0"/>
        <v>#VALUE!</v>
      </c>
      <c r="T38" s="23" t="e">
        <f t="shared" si="1"/>
        <v>#VALUE!</v>
      </c>
      <c r="U38" s="23" t="e">
        <f t="shared" si="2"/>
        <v>#VALUE!</v>
      </c>
    </row>
    <row r="39" spans="1:21" x14ac:dyDescent="0.25">
      <c r="A39" s="18" t="s">
        <v>98</v>
      </c>
      <c r="B39" s="18" t="s">
        <v>99</v>
      </c>
      <c r="C39" s="18" t="s">
        <v>14</v>
      </c>
      <c r="D39" s="18" t="s">
        <v>32</v>
      </c>
      <c r="F39" s="20">
        <v>4349921</v>
      </c>
      <c r="G39" s="20">
        <v>6318381</v>
      </c>
      <c r="H39" s="21">
        <v>326.89002158513563</v>
      </c>
      <c r="I39" s="22">
        <v>1.1004620318530163</v>
      </c>
      <c r="J39" s="23">
        <f t="shared" si="3"/>
        <v>359.73005734605471</v>
      </c>
      <c r="K39" s="21">
        <v>9.464245</v>
      </c>
      <c r="L39" s="24">
        <f t="shared" si="4"/>
        <v>5720393.9421265498</v>
      </c>
      <c r="M39" s="36">
        <f t="shared" si="5"/>
        <v>5720393.9421265498</v>
      </c>
      <c r="N39" s="23">
        <v>2.7075295212977562E-2</v>
      </c>
      <c r="O39" s="24">
        <f t="shared" si="6"/>
        <v>2057797640.8432076</v>
      </c>
      <c r="P39" s="36">
        <f t="shared" si="7"/>
        <v>2057797640.8432076</v>
      </c>
      <c r="Q39" s="24">
        <v>165997754.82625589</v>
      </c>
      <c r="R39" s="24">
        <f t="shared" si="8"/>
        <v>2489966322.3938384</v>
      </c>
      <c r="S39" s="23">
        <f t="shared" si="0"/>
        <v>0.82643593302292273</v>
      </c>
      <c r="T39" s="23">
        <f t="shared" si="1"/>
        <v>0.2754786443409743</v>
      </c>
      <c r="U39" s="23">
        <f t="shared" si="2"/>
        <v>2.4793077990687684</v>
      </c>
    </row>
    <row r="40" spans="1:21" x14ac:dyDescent="0.25">
      <c r="A40" s="18" t="s">
        <v>100</v>
      </c>
      <c r="B40" s="18" t="s">
        <v>101</v>
      </c>
      <c r="C40" s="18" t="s">
        <v>14</v>
      </c>
      <c r="D40" s="18" t="s">
        <v>32</v>
      </c>
      <c r="F40" s="20">
        <v>11720781</v>
      </c>
      <c r="G40" s="20">
        <v>20877527</v>
      </c>
      <c r="H40" s="21">
        <v>326.89002158513563</v>
      </c>
      <c r="I40" s="22">
        <v>1.1004620318530163</v>
      </c>
      <c r="J40" s="23">
        <f t="shared" si="3"/>
        <v>359.73005734605471</v>
      </c>
      <c r="K40" s="21">
        <v>3.5</v>
      </c>
      <c r="L40" s="24">
        <f t="shared" si="4"/>
        <v>20146813.555</v>
      </c>
      <c r="M40" s="36">
        <f t="shared" si="5"/>
        <v>20146813.555</v>
      </c>
      <c r="N40" s="23">
        <v>2.7075295212977562E-2</v>
      </c>
      <c r="O40" s="24">
        <f t="shared" si="6"/>
        <v>7247414395.480422</v>
      </c>
      <c r="P40" s="36">
        <f t="shared" si="7"/>
        <v>7247414395.480422</v>
      </c>
      <c r="Q40" s="24">
        <v>3554600897.019742</v>
      </c>
      <c r="R40" s="24">
        <f t="shared" si="8"/>
        <v>53319013455.296127</v>
      </c>
      <c r="S40" s="23">
        <f t="shared" si="0"/>
        <v>0.13592551560536317</v>
      </c>
      <c r="T40" s="23">
        <f t="shared" si="1"/>
        <v>4.5308505201787724E-2</v>
      </c>
      <c r="U40" s="23">
        <f t="shared" si="2"/>
        <v>0.40777654681608944</v>
      </c>
    </row>
    <row r="41" spans="1:21" x14ac:dyDescent="0.25">
      <c r="A41" s="18" t="s">
        <v>102</v>
      </c>
      <c r="B41" s="18" t="s">
        <v>103</v>
      </c>
      <c r="C41" s="18" t="s">
        <v>29</v>
      </c>
      <c r="D41" s="18" t="s">
        <v>19</v>
      </c>
      <c r="F41" s="20">
        <v>159518</v>
      </c>
      <c r="G41" s="20">
        <v>173587</v>
      </c>
      <c r="H41" s="20" t="s">
        <v>232</v>
      </c>
      <c r="I41" s="22">
        <v>1.1004620318530163</v>
      </c>
      <c r="J41" s="23" t="e">
        <f t="shared" si="3"/>
        <v>#VALUE!</v>
      </c>
      <c r="K41" s="21">
        <v>100</v>
      </c>
      <c r="L41" s="24">
        <f t="shared" si="4"/>
        <v>0</v>
      </c>
      <c r="M41" s="36">
        <f t="shared" si="5"/>
        <v>0</v>
      </c>
      <c r="N41" s="23">
        <v>0</v>
      </c>
      <c r="O41" s="24" t="e">
        <f t="shared" si="6"/>
        <v>#VALUE!</v>
      </c>
      <c r="P41" s="36">
        <f t="shared" si="7"/>
        <v>0</v>
      </c>
      <c r="Q41" s="24" t="s">
        <v>232</v>
      </c>
      <c r="R41" s="24" t="e">
        <f t="shared" si="8"/>
        <v>#VALUE!</v>
      </c>
      <c r="S41" s="23" t="e">
        <f t="shared" si="0"/>
        <v>#VALUE!</v>
      </c>
      <c r="T41" s="23" t="e">
        <f t="shared" si="1"/>
        <v>#VALUE!</v>
      </c>
      <c r="U41" s="23" t="e">
        <f t="shared" si="2"/>
        <v>#VALUE!</v>
      </c>
    </row>
    <row r="42" spans="1:21" x14ac:dyDescent="0.25">
      <c r="A42" s="18" t="s">
        <v>104</v>
      </c>
      <c r="B42" s="18" t="s">
        <v>105</v>
      </c>
      <c r="C42" s="18" t="s">
        <v>45</v>
      </c>
      <c r="D42" s="18" t="s">
        <v>35</v>
      </c>
      <c r="E42" s="18"/>
      <c r="F42" s="20">
        <v>17150760</v>
      </c>
      <c r="G42" s="20">
        <v>19814578</v>
      </c>
      <c r="H42" s="21">
        <v>326.89002158513563</v>
      </c>
      <c r="I42" s="22">
        <v>1.1004620318530163</v>
      </c>
      <c r="J42" s="23">
        <f t="shared" si="3"/>
        <v>359.73005734605471</v>
      </c>
      <c r="K42" s="21">
        <v>99.59</v>
      </c>
      <c r="L42" s="24">
        <f t="shared" si="4"/>
        <v>81239.769799999849</v>
      </c>
      <c r="M42" s="36">
        <f t="shared" si="5"/>
        <v>81239.769799999849</v>
      </c>
      <c r="N42" s="23">
        <v>2.7075295212977562E-2</v>
      </c>
      <c r="O42" s="24">
        <f t="shared" si="6"/>
        <v>29224387.048934229</v>
      </c>
      <c r="P42" s="36">
        <f t="shared" si="7"/>
        <v>29224387.048934229</v>
      </c>
      <c r="Q42" s="24">
        <v>42609019124.162964</v>
      </c>
      <c r="R42" s="24">
        <f t="shared" si="8"/>
        <v>639135286862.44446</v>
      </c>
      <c r="S42" s="23">
        <f t="shared" si="0"/>
        <v>4.5724884307982104E-5</v>
      </c>
      <c r="T42" s="23">
        <f t="shared" si="1"/>
        <v>1.5241628102660701E-5</v>
      </c>
      <c r="U42" s="23">
        <f t="shared" si="2"/>
        <v>1.3717465292394633E-4</v>
      </c>
    </row>
    <row r="43" spans="1:21" x14ac:dyDescent="0.25">
      <c r="A43" s="18" t="s">
        <v>106</v>
      </c>
      <c r="B43" s="18" t="s">
        <v>107</v>
      </c>
      <c r="C43" s="18" t="s">
        <v>18</v>
      </c>
      <c r="D43" s="18" t="s">
        <v>26</v>
      </c>
      <c r="F43" s="20">
        <v>1337705000</v>
      </c>
      <c r="G43" s="20">
        <v>1453297304</v>
      </c>
      <c r="H43" s="21">
        <v>157</v>
      </c>
      <c r="I43" s="22">
        <v>1.1004620318530163</v>
      </c>
      <c r="J43" s="23">
        <f t="shared" si="3"/>
        <v>172.77253900092356</v>
      </c>
      <c r="K43" s="21">
        <v>99.7</v>
      </c>
      <c r="L43" s="24">
        <f t="shared" si="4"/>
        <v>4359891.9120000042</v>
      </c>
      <c r="M43" s="36">
        <f t="shared" si="5"/>
        <v>4359891.9120000042</v>
      </c>
      <c r="N43" s="23">
        <v>0.11040303634246594</v>
      </c>
      <c r="O43" s="24">
        <f t="shared" si="6"/>
        <v>753269595.40583193</v>
      </c>
      <c r="P43" s="36">
        <f t="shared" si="7"/>
        <v>753269595.40583193</v>
      </c>
      <c r="Q43" s="24">
        <v>412412144329.84637</v>
      </c>
      <c r="R43" s="24">
        <f t="shared" si="8"/>
        <v>6186182164947.6953</v>
      </c>
      <c r="S43" s="23">
        <f t="shared" si="0"/>
        <v>1.2176647491469416E-4</v>
      </c>
      <c r="T43" s="23">
        <f t="shared" si="1"/>
        <v>4.058882497156472E-5</v>
      </c>
      <c r="U43" s="23">
        <f t="shared" si="2"/>
        <v>3.6529942474408249E-4</v>
      </c>
    </row>
    <row r="44" spans="1:21" x14ac:dyDescent="0.25">
      <c r="A44" s="18" t="s">
        <v>108</v>
      </c>
      <c r="B44" s="18" t="s">
        <v>109</v>
      </c>
      <c r="C44" s="18" t="s">
        <v>18</v>
      </c>
      <c r="D44" s="18" t="s">
        <v>35</v>
      </c>
      <c r="E44" s="18"/>
      <c r="F44" s="20">
        <v>46444798</v>
      </c>
      <c r="G44" s="20">
        <v>57219408</v>
      </c>
      <c r="H44" s="21">
        <v>326.89002158513563</v>
      </c>
      <c r="I44" s="22">
        <v>1.1004620318530163</v>
      </c>
      <c r="J44" s="23">
        <f t="shared" si="3"/>
        <v>359.73005734605471</v>
      </c>
      <c r="K44" s="21">
        <v>96.79</v>
      </c>
      <c r="L44" s="24">
        <f t="shared" si="4"/>
        <v>1836742.9967999947</v>
      </c>
      <c r="M44" s="36">
        <f t="shared" si="5"/>
        <v>1836742.9967999947</v>
      </c>
      <c r="N44" s="23">
        <v>2.7075295212977562E-2</v>
      </c>
      <c r="O44" s="24">
        <f t="shared" si="6"/>
        <v>660731663.56882644</v>
      </c>
      <c r="P44" s="36">
        <f t="shared" si="7"/>
        <v>660731663.56882644</v>
      </c>
      <c r="Q44" s="24">
        <v>27613795592.874363</v>
      </c>
      <c r="R44" s="24">
        <f t="shared" si="8"/>
        <v>414206933893.11542</v>
      </c>
      <c r="S44" s="23">
        <f t="shared" si="0"/>
        <v>1.595172870136756E-3</v>
      </c>
      <c r="T44" s="23">
        <f t="shared" si="1"/>
        <v>5.3172429004558533E-4</v>
      </c>
      <c r="U44" s="23">
        <f t="shared" si="2"/>
        <v>4.7855186104102674E-3</v>
      </c>
    </row>
    <row r="45" spans="1:21" x14ac:dyDescent="0.25">
      <c r="A45" s="18" t="s">
        <v>110</v>
      </c>
      <c r="B45" s="18" t="s">
        <v>111</v>
      </c>
      <c r="C45" s="18" t="s">
        <v>14</v>
      </c>
      <c r="D45" s="18" t="s">
        <v>32</v>
      </c>
      <c r="F45" s="20">
        <v>683081</v>
      </c>
      <c r="G45" s="20">
        <v>1057197</v>
      </c>
      <c r="H45" s="21">
        <v>326.89002158513563</v>
      </c>
      <c r="I45" s="22">
        <v>1.1004620318530163</v>
      </c>
      <c r="J45" s="23">
        <f t="shared" si="3"/>
        <v>359.73005734605471</v>
      </c>
      <c r="K45" s="21">
        <v>48.344149999999999</v>
      </c>
      <c r="L45" s="24">
        <f t="shared" si="4"/>
        <v>546104.09652450006</v>
      </c>
      <c r="M45" s="36">
        <f t="shared" si="5"/>
        <v>546104.09652450006</v>
      </c>
      <c r="N45" s="23">
        <v>2.7075295212977562E-2</v>
      </c>
      <c r="O45" s="24">
        <f t="shared" si="6"/>
        <v>196450057.95967379</v>
      </c>
      <c r="P45" s="36">
        <f t="shared" si="7"/>
        <v>196450057.95967379</v>
      </c>
      <c r="Q45" s="24">
        <v>15685686.317566991</v>
      </c>
      <c r="R45" s="24">
        <f t="shared" si="8"/>
        <v>235285294.76350486</v>
      </c>
      <c r="S45" s="23">
        <f t="shared" si="0"/>
        <v>0.8349440544388208</v>
      </c>
      <c r="T45" s="23">
        <f t="shared" si="1"/>
        <v>0.27831468481294025</v>
      </c>
      <c r="U45" s="23">
        <f t="shared" si="2"/>
        <v>2.5048321633164625</v>
      </c>
    </row>
    <row r="46" spans="1:21" x14ac:dyDescent="0.25">
      <c r="A46" s="18" t="s">
        <v>112</v>
      </c>
      <c r="B46" s="18" t="s">
        <v>113</v>
      </c>
      <c r="C46" s="18" t="s">
        <v>14</v>
      </c>
      <c r="D46" s="18" t="s">
        <v>32</v>
      </c>
      <c r="F46" s="20">
        <v>62191161</v>
      </c>
      <c r="G46" s="24">
        <v>103743184</v>
      </c>
      <c r="H46" s="21">
        <v>326.89002158513563</v>
      </c>
      <c r="I46" s="22">
        <v>1.1004620318530163</v>
      </c>
      <c r="J46" s="23">
        <f t="shared" si="3"/>
        <v>359.73005734605471</v>
      </c>
      <c r="K46" s="21">
        <v>15.2</v>
      </c>
      <c r="L46" s="24">
        <f t="shared" si="4"/>
        <v>87974220.03199999</v>
      </c>
      <c r="M46" s="36">
        <f t="shared" si="5"/>
        <v>87974220.03199999</v>
      </c>
      <c r="N46" s="23">
        <v>2.7075295212977562E-2</v>
      </c>
      <c r="O46" s="24">
        <f t="shared" si="6"/>
        <v>31646971217.085793</v>
      </c>
      <c r="P46" s="36">
        <f t="shared" si="7"/>
        <v>31646971217.085793</v>
      </c>
      <c r="Q46" s="24">
        <v>7681552331.5239582</v>
      </c>
      <c r="R46" s="24">
        <f t="shared" si="8"/>
        <v>115223284972.85937</v>
      </c>
      <c r="S46" s="23">
        <f t="shared" si="0"/>
        <v>0.27465777619983822</v>
      </c>
      <c r="T46" s="23">
        <f t="shared" si="1"/>
        <v>9.1552592066612745E-2</v>
      </c>
      <c r="U46" s="23">
        <f t="shared" si="2"/>
        <v>0.82397332859951478</v>
      </c>
    </row>
    <row r="47" spans="1:21" x14ac:dyDescent="0.25">
      <c r="A47" s="18" t="s">
        <v>114</v>
      </c>
      <c r="B47" s="18" t="s">
        <v>115</v>
      </c>
      <c r="C47" s="18" t="s">
        <v>40</v>
      </c>
      <c r="D47" s="18" t="s">
        <v>32</v>
      </c>
      <c r="F47" s="20">
        <v>4111715</v>
      </c>
      <c r="G47" s="24">
        <v>6753771</v>
      </c>
      <c r="H47" s="21">
        <v>326.89002158513563</v>
      </c>
      <c r="I47" s="22">
        <v>1.1004620318530163</v>
      </c>
      <c r="J47" s="23">
        <f t="shared" si="3"/>
        <v>359.73005734605471</v>
      </c>
      <c r="K47" s="21">
        <v>37.1</v>
      </c>
      <c r="L47" s="24">
        <f t="shared" si="4"/>
        <v>4248121.9589999998</v>
      </c>
      <c r="M47" s="36">
        <f t="shared" si="5"/>
        <v>4248121.9589999998</v>
      </c>
      <c r="N47" s="23">
        <v>2.7075295212977562E-2</v>
      </c>
      <c r="O47" s="24">
        <f t="shared" si="6"/>
        <v>1528177155.9241042</v>
      </c>
      <c r="P47" s="36">
        <f t="shared" si="7"/>
        <v>1528177155.9241042</v>
      </c>
      <c r="Q47" s="24">
        <v>7999753757.4398327</v>
      </c>
      <c r="R47" s="24">
        <f t="shared" si="8"/>
        <v>119996306361.59749</v>
      </c>
      <c r="S47" s="23">
        <f t="shared" si="0"/>
        <v>1.2735201626282456E-2</v>
      </c>
      <c r="T47" s="23">
        <f t="shared" si="1"/>
        <v>4.2450672087608185E-3</v>
      </c>
      <c r="U47" s="23">
        <f t="shared" si="2"/>
        <v>3.8205604878847367E-2</v>
      </c>
    </row>
    <row r="48" spans="1:21" x14ac:dyDescent="0.25">
      <c r="A48" s="18" t="s">
        <v>116</v>
      </c>
      <c r="B48" s="18" t="s">
        <v>117</v>
      </c>
      <c r="C48" s="18" t="s">
        <v>18</v>
      </c>
      <c r="D48" s="18" t="s">
        <v>35</v>
      </c>
      <c r="E48" s="18"/>
      <c r="F48" s="20">
        <v>4669685</v>
      </c>
      <c r="G48" s="20">
        <v>5759573</v>
      </c>
      <c r="H48" s="21">
        <v>326.89002158513563</v>
      </c>
      <c r="I48" s="22">
        <v>1.1004620318530163</v>
      </c>
      <c r="J48" s="23">
        <f t="shared" si="3"/>
        <v>359.73005734605471</v>
      </c>
      <c r="K48" s="21">
        <v>99</v>
      </c>
      <c r="L48" s="24">
        <f t="shared" si="4"/>
        <v>57595.730000000054</v>
      </c>
      <c r="M48" s="36">
        <f t="shared" si="5"/>
        <v>57595.730000000054</v>
      </c>
      <c r="N48" s="23">
        <v>2.7075295212977562E-2</v>
      </c>
      <c r="O48" s="24">
        <f t="shared" si="6"/>
        <v>20718915.255787902</v>
      </c>
      <c r="P48" s="36">
        <f t="shared" si="7"/>
        <v>20718915.255787902</v>
      </c>
      <c r="Q48" s="24">
        <v>447691904.68022686</v>
      </c>
      <c r="R48" s="24">
        <f t="shared" si="8"/>
        <v>6715378570.2034025</v>
      </c>
      <c r="S48" s="23">
        <f t="shared" si="0"/>
        <v>3.0852937089383397E-3</v>
      </c>
      <c r="T48" s="23">
        <f t="shared" si="1"/>
        <v>1.0284312363127801E-3</v>
      </c>
      <c r="U48" s="23">
        <f t="shared" si="2"/>
        <v>9.2558811268150191E-3</v>
      </c>
    </row>
    <row r="49" spans="1:21" x14ac:dyDescent="0.25">
      <c r="A49" s="18" t="s">
        <v>118</v>
      </c>
      <c r="B49" s="18" t="s">
        <v>119</v>
      </c>
      <c r="C49" s="18" t="s">
        <v>40</v>
      </c>
      <c r="D49" s="18" t="s">
        <v>32</v>
      </c>
      <c r="F49" s="20">
        <v>18976588</v>
      </c>
      <c r="G49" s="24">
        <v>29227188</v>
      </c>
      <c r="H49" s="21">
        <v>326.89002158513563</v>
      </c>
      <c r="I49" s="22">
        <v>1.1004620318530163</v>
      </c>
      <c r="J49" s="23">
        <f t="shared" si="3"/>
        <v>359.73005734605471</v>
      </c>
      <c r="K49" s="21">
        <v>58.9</v>
      </c>
      <c r="L49" s="24">
        <f t="shared" si="4"/>
        <v>12012374.268000001</v>
      </c>
      <c r="M49" s="36">
        <f t="shared" si="5"/>
        <v>12012374.268000001</v>
      </c>
      <c r="N49" s="23">
        <v>2.7075295212977562E-2</v>
      </c>
      <c r="O49" s="24">
        <f t="shared" si="6"/>
        <v>4321212084.2899122</v>
      </c>
      <c r="P49" s="36">
        <f t="shared" si="7"/>
        <v>4321212084.2899122</v>
      </c>
      <c r="Q49" s="24">
        <v>1791544935.1129889</v>
      </c>
      <c r="R49" s="24">
        <f t="shared" si="8"/>
        <v>26873174026.694836</v>
      </c>
      <c r="S49" s="23">
        <f t="shared" si="0"/>
        <v>0.16080021213710657</v>
      </c>
      <c r="T49" s="23">
        <f t="shared" si="1"/>
        <v>5.3600070712368865E-2</v>
      </c>
      <c r="U49" s="23">
        <f t="shared" si="2"/>
        <v>0.48240063641131969</v>
      </c>
    </row>
    <row r="50" spans="1:21" x14ac:dyDescent="0.25">
      <c r="A50" s="18" t="s">
        <v>120</v>
      </c>
      <c r="B50" s="18" t="s">
        <v>121</v>
      </c>
      <c r="C50" s="18" t="s">
        <v>29</v>
      </c>
      <c r="D50" s="18" t="s">
        <v>19</v>
      </c>
      <c r="F50" s="20">
        <v>4417800</v>
      </c>
      <c r="G50" s="20">
        <v>4015138</v>
      </c>
      <c r="H50" s="20" t="s">
        <v>232</v>
      </c>
      <c r="I50" s="22">
        <v>1.1004620318530163</v>
      </c>
      <c r="J50" s="23" t="e">
        <f t="shared" si="3"/>
        <v>#VALUE!</v>
      </c>
      <c r="K50" s="21">
        <v>100</v>
      </c>
      <c r="L50" s="24">
        <f t="shared" si="4"/>
        <v>0</v>
      </c>
      <c r="M50" s="36">
        <f t="shared" si="5"/>
        <v>0</v>
      </c>
      <c r="N50" s="23">
        <v>0</v>
      </c>
      <c r="O50" s="24" t="e">
        <f t="shared" si="6"/>
        <v>#VALUE!</v>
      </c>
      <c r="P50" s="36">
        <f t="shared" si="7"/>
        <v>0</v>
      </c>
      <c r="Q50" s="24">
        <v>918544973.75403845</v>
      </c>
      <c r="R50" s="24">
        <f t="shared" si="8"/>
        <v>13778174606.310577</v>
      </c>
      <c r="S50" s="23" t="e">
        <f t="shared" si="0"/>
        <v>#VALUE!</v>
      </c>
      <c r="T50" s="23" t="e">
        <f t="shared" si="1"/>
        <v>#VALUE!</v>
      </c>
      <c r="U50" s="23" t="e">
        <f t="shared" si="2"/>
        <v>#VALUE!</v>
      </c>
    </row>
    <row r="51" spans="1:21" x14ac:dyDescent="0.25">
      <c r="A51" s="18" t="s">
        <v>122</v>
      </c>
      <c r="B51" s="18" t="s">
        <v>123</v>
      </c>
      <c r="C51" s="18" t="s">
        <v>18</v>
      </c>
      <c r="D51" s="18" t="s">
        <v>35</v>
      </c>
      <c r="E51" s="18"/>
      <c r="F51" s="20">
        <v>11281768</v>
      </c>
      <c r="G51" s="20">
        <v>10847333</v>
      </c>
      <c r="H51" s="21">
        <v>326.89002158513563</v>
      </c>
      <c r="I51" s="22">
        <v>1.1004620318530163</v>
      </c>
      <c r="J51" s="23">
        <f t="shared" si="3"/>
        <v>359.73005734605471</v>
      </c>
      <c r="K51" s="21">
        <v>100</v>
      </c>
      <c r="L51" s="24">
        <f t="shared" si="4"/>
        <v>0</v>
      </c>
      <c r="M51" s="36">
        <f t="shared" si="5"/>
        <v>0</v>
      </c>
      <c r="N51" s="23">
        <v>2.7075295212977562E-2</v>
      </c>
      <c r="O51" s="24">
        <f t="shared" si="6"/>
        <v>0</v>
      </c>
      <c r="P51" s="36">
        <f t="shared" si="7"/>
        <v>0</v>
      </c>
      <c r="Q51" s="24">
        <v>3082852547.1150317</v>
      </c>
      <c r="R51" s="24">
        <f t="shared" si="8"/>
        <v>46242788206.725479</v>
      </c>
      <c r="S51" s="23">
        <f t="shared" si="0"/>
        <v>0</v>
      </c>
      <c r="T51" s="23">
        <f t="shared" si="1"/>
        <v>0</v>
      </c>
      <c r="U51" s="23">
        <f t="shared" si="2"/>
        <v>0</v>
      </c>
    </row>
    <row r="52" spans="1:21" x14ac:dyDescent="0.25">
      <c r="A52" s="18" t="s">
        <v>124</v>
      </c>
      <c r="B52" s="18" t="s">
        <v>125</v>
      </c>
      <c r="C52" s="18" t="s">
        <v>29</v>
      </c>
      <c r="D52" s="18" t="s">
        <v>35</v>
      </c>
      <c r="E52" s="18"/>
      <c r="F52" s="20">
        <v>149311</v>
      </c>
      <c r="G52" s="24">
        <v>178776</v>
      </c>
      <c r="H52" s="21">
        <v>326.89002158513563</v>
      </c>
      <c r="I52" s="22">
        <v>1.1004620318530163</v>
      </c>
      <c r="J52" s="23">
        <f t="shared" si="3"/>
        <v>359.73005734605471</v>
      </c>
      <c r="K52" s="21">
        <v>88.229380000000006</v>
      </c>
      <c r="L52" s="24">
        <f t="shared" si="4"/>
        <v>21043.043611199995</v>
      </c>
      <c r="M52" s="36">
        <f t="shared" si="5"/>
        <v>21043.043611199995</v>
      </c>
      <c r="N52" s="23">
        <v>2.7075295212977562E-2</v>
      </c>
      <c r="O52" s="24">
        <f t="shared" si="6"/>
        <v>7569815.2849925049</v>
      </c>
      <c r="P52" s="36">
        <f t="shared" si="7"/>
        <v>7569815.2849925049</v>
      </c>
      <c r="Q52" s="24" t="s">
        <v>232</v>
      </c>
      <c r="R52" s="24" t="e">
        <f t="shared" si="8"/>
        <v>#VALUE!</v>
      </c>
      <c r="S52" s="23" t="e">
        <f t="shared" si="0"/>
        <v>#VALUE!</v>
      </c>
      <c r="T52" s="23" t="e">
        <f t="shared" si="1"/>
        <v>#VALUE!</v>
      </c>
      <c r="U52" s="23" t="e">
        <f t="shared" si="2"/>
        <v>#VALUE!</v>
      </c>
    </row>
    <row r="53" spans="1:21" x14ac:dyDescent="0.25">
      <c r="A53" s="18" t="s">
        <v>126</v>
      </c>
      <c r="B53" s="18" t="s">
        <v>127</v>
      </c>
      <c r="C53" s="18" t="s">
        <v>29</v>
      </c>
      <c r="D53" s="18" t="s">
        <v>19</v>
      </c>
      <c r="F53" s="20">
        <v>1103685</v>
      </c>
      <c r="G53" s="20">
        <v>1306312</v>
      </c>
      <c r="H53" s="20" t="s">
        <v>232</v>
      </c>
      <c r="I53" s="22">
        <v>1.1004620318530163</v>
      </c>
      <c r="J53" s="23" t="e">
        <f t="shared" si="3"/>
        <v>#VALUE!</v>
      </c>
      <c r="K53" s="21">
        <v>100</v>
      </c>
      <c r="L53" s="24">
        <f t="shared" si="4"/>
        <v>0</v>
      </c>
      <c r="M53" s="36">
        <f t="shared" si="5"/>
        <v>0</v>
      </c>
      <c r="N53" s="23">
        <v>0</v>
      </c>
      <c r="O53" s="24" t="e">
        <f t="shared" si="6"/>
        <v>#VALUE!</v>
      </c>
      <c r="P53" s="36">
        <f t="shared" si="7"/>
        <v>0</v>
      </c>
      <c r="Q53" s="24">
        <v>2097439.0563930012</v>
      </c>
      <c r="R53" s="24">
        <f t="shared" si="8"/>
        <v>31461585.845895018</v>
      </c>
      <c r="S53" s="23" t="e">
        <f t="shared" si="0"/>
        <v>#VALUE!</v>
      </c>
      <c r="T53" s="23" t="e">
        <f t="shared" si="1"/>
        <v>#VALUE!</v>
      </c>
      <c r="U53" s="23" t="e">
        <f t="shared" si="2"/>
        <v>#VALUE!</v>
      </c>
    </row>
    <row r="54" spans="1:21" x14ac:dyDescent="0.25">
      <c r="A54" s="18" t="s">
        <v>128</v>
      </c>
      <c r="B54" s="18" t="s">
        <v>129</v>
      </c>
      <c r="C54" s="18" t="s">
        <v>45</v>
      </c>
      <c r="D54" s="18" t="s">
        <v>19</v>
      </c>
      <c r="F54" s="20">
        <v>10474410</v>
      </c>
      <c r="G54" s="20">
        <v>11053125</v>
      </c>
      <c r="H54" s="20" t="s">
        <v>232</v>
      </c>
      <c r="I54" s="22">
        <v>1.1004620318530163</v>
      </c>
      <c r="J54" s="23" t="e">
        <f t="shared" si="3"/>
        <v>#VALUE!</v>
      </c>
      <c r="K54" s="21">
        <v>100</v>
      </c>
      <c r="L54" s="24">
        <f t="shared" si="4"/>
        <v>0</v>
      </c>
      <c r="M54" s="36">
        <f t="shared" si="5"/>
        <v>0</v>
      </c>
      <c r="N54" s="23">
        <v>0</v>
      </c>
      <c r="O54" s="24" t="e">
        <f t="shared" si="6"/>
        <v>#VALUE!</v>
      </c>
      <c r="P54" s="36">
        <f t="shared" si="7"/>
        <v>0</v>
      </c>
      <c r="Q54" s="24">
        <v>1366868039.2637777</v>
      </c>
      <c r="R54" s="24">
        <f t="shared" si="8"/>
        <v>20503020588.956665</v>
      </c>
      <c r="S54" s="23" t="e">
        <f t="shared" si="0"/>
        <v>#VALUE!</v>
      </c>
      <c r="T54" s="23" t="e">
        <f t="shared" si="1"/>
        <v>#VALUE!</v>
      </c>
      <c r="U54" s="23" t="e">
        <f t="shared" si="2"/>
        <v>#VALUE!</v>
      </c>
    </row>
    <row r="55" spans="1:21" x14ac:dyDescent="0.25">
      <c r="A55" s="18" t="s">
        <v>130</v>
      </c>
      <c r="B55" s="18" t="s">
        <v>131</v>
      </c>
      <c r="C55" s="18" t="s">
        <v>45</v>
      </c>
      <c r="D55" s="18" t="s">
        <v>19</v>
      </c>
      <c r="F55" s="20">
        <v>5547683</v>
      </c>
      <c r="G55" s="20">
        <v>6009458</v>
      </c>
      <c r="H55" s="20" t="s">
        <v>232</v>
      </c>
      <c r="I55" s="22">
        <v>1.1004620318530163</v>
      </c>
      <c r="J55" s="23" t="e">
        <f t="shared" si="3"/>
        <v>#VALUE!</v>
      </c>
      <c r="K55" s="21">
        <v>100</v>
      </c>
      <c r="L55" s="24">
        <f t="shared" si="4"/>
        <v>0</v>
      </c>
      <c r="M55" s="36">
        <f t="shared" si="5"/>
        <v>0</v>
      </c>
      <c r="N55" s="23">
        <v>0</v>
      </c>
      <c r="O55" s="24" t="e">
        <f t="shared" si="6"/>
        <v>#VALUE!</v>
      </c>
      <c r="P55" s="36">
        <f t="shared" si="7"/>
        <v>0</v>
      </c>
      <c r="Q55" s="24">
        <v>6826937316.8512735</v>
      </c>
      <c r="R55" s="24">
        <f t="shared" si="8"/>
        <v>102404059752.7691</v>
      </c>
      <c r="S55" s="23" t="e">
        <f t="shared" si="0"/>
        <v>#VALUE!</v>
      </c>
      <c r="T55" s="23" t="e">
        <f t="shared" si="1"/>
        <v>#VALUE!</v>
      </c>
      <c r="U55" s="23" t="e">
        <f t="shared" si="2"/>
        <v>#VALUE!</v>
      </c>
    </row>
    <row r="56" spans="1:21" x14ac:dyDescent="0.25">
      <c r="A56" s="18" t="s">
        <v>132</v>
      </c>
      <c r="B56" s="18" t="s">
        <v>133</v>
      </c>
      <c r="C56" s="18" t="s">
        <v>40</v>
      </c>
      <c r="D56" s="18" t="s">
        <v>22</v>
      </c>
      <c r="E56" s="18" t="s">
        <v>23</v>
      </c>
      <c r="F56" s="20">
        <v>834036</v>
      </c>
      <c r="G56" s="20">
        <v>1075146</v>
      </c>
      <c r="H56" s="21">
        <v>326.89002158513563</v>
      </c>
      <c r="I56" s="22">
        <v>1.1004620318530163</v>
      </c>
      <c r="J56" s="23">
        <f t="shared" si="3"/>
        <v>359.73005734605471</v>
      </c>
      <c r="K56" s="21">
        <v>49.7</v>
      </c>
      <c r="L56" s="24">
        <f t="shared" si="4"/>
        <v>540798.43799999985</v>
      </c>
      <c r="M56" s="36">
        <f t="shared" si="5"/>
        <v>540798.43799999985</v>
      </c>
      <c r="N56" s="23">
        <v>2.7075295212977562E-2</v>
      </c>
      <c r="O56" s="24">
        <f t="shared" si="6"/>
        <v>194541453.11439675</v>
      </c>
      <c r="P56" s="36">
        <f t="shared" si="7"/>
        <v>194541453.11439675</v>
      </c>
      <c r="Q56" s="24" t="s">
        <v>232</v>
      </c>
      <c r="R56" s="24" t="e">
        <f t="shared" si="8"/>
        <v>#VALUE!</v>
      </c>
      <c r="S56" s="23" t="e">
        <f t="shared" si="0"/>
        <v>#VALUE!</v>
      </c>
      <c r="T56" s="23" t="e">
        <f t="shared" si="1"/>
        <v>#VALUE!</v>
      </c>
      <c r="U56" s="23" t="e">
        <f t="shared" si="2"/>
        <v>#VALUE!</v>
      </c>
    </row>
    <row r="57" spans="1:21" x14ac:dyDescent="0.25">
      <c r="A57" s="18" t="s">
        <v>134</v>
      </c>
      <c r="B57" s="18" t="s">
        <v>135</v>
      </c>
      <c r="C57" s="18" t="s">
        <v>18</v>
      </c>
      <c r="D57" s="18" t="s">
        <v>35</v>
      </c>
      <c r="E57" s="18"/>
      <c r="F57" s="20">
        <v>71167</v>
      </c>
      <c r="G57" s="20">
        <v>76952</v>
      </c>
      <c r="H57" s="21">
        <v>326.89002158513563</v>
      </c>
      <c r="I57" s="22">
        <v>1.1004620318530163</v>
      </c>
      <c r="J57" s="23">
        <f t="shared" si="3"/>
        <v>359.73005734605471</v>
      </c>
      <c r="K57" s="21">
        <v>91.244150000000005</v>
      </c>
      <c r="L57" s="24">
        <f t="shared" si="4"/>
        <v>6737.8016919999991</v>
      </c>
      <c r="M57" s="36">
        <f t="shared" si="5"/>
        <v>6737.8016919999991</v>
      </c>
      <c r="N57" s="23">
        <v>2.7075295212977562E-2</v>
      </c>
      <c r="O57" s="24">
        <f t="shared" si="6"/>
        <v>2423789.7890495043</v>
      </c>
      <c r="P57" s="36">
        <f t="shared" si="7"/>
        <v>2423789.7890495043</v>
      </c>
      <c r="Q57" s="24">
        <v>491062.11491866165</v>
      </c>
      <c r="R57" s="24">
        <f t="shared" si="8"/>
        <v>7365931.7237799251</v>
      </c>
      <c r="S57" s="23">
        <f t="shared" si="0"/>
        <v>0.32905406674143112</v>
      </c>
      <c r="T57" s="23">
        <f t="shared" si="1"/>
        <v>0.10968468891381038</v>
      </c>
      <c r="U57" s="23">
        <f t="shared" si="2"/>
        <v>0.98716220022429335</v>
      </c>
    </row>
    <row r="58" spans="1:21" x14ac:dyDescent="0.25">
      <c r="A58" s="18" t="s">
        <v>136</v>
      </c>
      <c r="B58" s="18" t="s">
        <v>137</v>
      </c>
      <c r="C58" s="18" t="s">
        <v>18</v>
      </c>
      <c r="D58" s="18" t="s">
        <v>35</v>
      </c>
      <c r="E58" s="18"/>
      <c r="F58" s="20">
        <v>10016797</v>
      </c>
      <c r="G58" s="20">
        <v>12218615</v>
      </c>
      <c r="H58" s="21">
        <v>326.89002158513563</v>
      </c>
      <c r="I58" s="22">
        <v>1.1004620318530163</v>
      </c>
      <c r="J58" s="23">
        <f t="shared" si="3"/>
        <v>359.73005734605471</v>
      </c>
      <c r="K58" s="21">
        <v>98.15</v>
      </c>
      <c r="L58" s="24">
        <f t="shared" si="4"/>
        <v>226044.37749999954</v>
      </c>
      <c r="M58" s="36">
        <f t="shared" si="5"/>
        <v>226044.37749999954</v>
      </c>
      <c r="N58" s="23">
        <v>2.7075295212977562E-2</v>
      </c>
      <c r="O58" s="24">
        <f t="shared" si="6"/>
        <v>81314956.880828068</v>
      </c>
      <c r="P58" s="36">
        <f t="shared" si="7"/>
        <v>81314956.880828068</v>
      </c>
      <c r="Q58" s="24">
        <v>129924258.050329</v>
      </c>
      <c r="R58" s="24">
        <f t="shared" si="8"/>
        <v>1948863870.754935</v>
      </c>
      <c r="S58" s="23">
        <f t="shared" si="0"/>
        <v>4.1724287725303739E-2</v>
      </c>
      <c r="T58" s="23">
        <f t="shared" si="1"/>
        <v>1.390809590843458E-2</v>
      </c>
      <c r="U58" s="23">
        <f t="shared" si="2"/>
        <v>0.1251728631759112</v>
      </c>
    </row>
    <row r="59" spans="1:21" x14ac:dyDescent="0.25">
      <c r="A59" s="18" t="s">
        <v>138</v>
      </c>
      <c r="B59" s="18" t="s">
        <v>139</v>
      </c>
      <c r="C59" s="18" t="s">
        <v>18</v>
      </c>
      <c r="D59" s="18" t="s">
        <v>35</v>
      </c>
      <c r="E59" s="18"/>
      <c r="F59" s="20">
        <v>15001072</v>
      </c>
      <c r="G59" s="20">
        <v>19648546</v>
      </c>
      <c r="H59" s="21">
        <v>326.89002158513563</v>
      </c>
      <c r="I59" s="22">
        <v>1.1004620318530163</v>
      </c>
      <c r="J59" s="23">
        <f t="shared" si="3"/>
        <v>359.73005734605471</v>
      </c>
      <c r="K59" s="21">
        <v>97.46</v>
      </c>
      <c r="L59" s="24">
        <f t="shared" si="4"/>
        <v>499073.06840000174</v>
      </c>
      <c r="M59" s="36">
        <f t="shared" si="5"/>
        <v>499073.06840000174</v>
      </c>
      <c r="N59" s="23">
        <v>2.7075295212977562E-2</v>
      </c>
      <c r="O59" s="24">
        <f t="shared" si="6"/>
        <v>179531583.51540411</v>
      </c>
      <c r="P59" s="36">
        <f t="shared" si="7"/>
        <v>179531583.51540411</v>
      </c>
      <c r="Q59" s="24">
        <v>12579420182.430964</v>
      </c>
      <c r="R59" s="24">
        <f t="shared" si="8"/>
        <v>188691302736.46445</v>
      </c>
      <c r="S59" s="23">
        <f t="shared" si="0"/>
        <v>9.5145659027086554E-4</v>
      </c>
      <c r="T59" s="23">
        <f t="shared" si="1"/>
        <v>3.171521967569552E-4</v>
      </c>
      <c r="U59" s="23">
        <f t="shared" si="2"/>
        <v>2.8543697708125967E-3</v>
      </c>
    </row>
    <row r="60" spans="1:21" x14ac:dyDescent="0.25">
      <c r="A60" s="18" t="s">
        <v>140</v>
      </c>
      <c r="B60" s="18" t="s">
        <v>141</v>
      </c>
      <c r="C60" s="18" t="s">
        <v>40</v>
      </c>
      <c r="D60" s="18" t="s">
        <v>22</v>
      </c>
      <c r="E60" s="18" t="s">
        <v>23</v>
      </c>
      <c r="F60" s="20">
        <v>78075705</v>
      </c>
      <c r="G60" s="24">
        <v>102552797</v>
      </c>
      <c r="H60" s="21">
        <v>157</v>
      </c>
      <c r="I60" s="22">
        <v>1.1004620318530163</v>
      </c>
      <c r="J60" s="23">
        <f t="shared" si="3"/>
        <v>172.77253900092356</v>
      </c>
      <c r="K60" s="21">
        <v>99.6</v>
      </c>
      <c r="L60" s="24">
        <f t="shared" si="4"/>
        <v>410211.18800000037</v>
      </c>
      <c r="M60" s="36">
        <f t="shared" si="5"/>
        <v>410211.18800000037</v>
      </c>
      <c r="N60" s="23">
        <v>0.11040303634246594</v>
      </c>
      <c r="O60" s="24">
        <f t="shared" si="6"/>
        <v>70873228.477345243</v>
      </c>
      <c r="P60" s="36">
        <f t="shared" si="7"/>
        <v>70873228.477345243</v>
      </c>
      <c r="Q60" s="24">
        <v>26385352958.727764</v>
      </c>
      <c r="R60" s="24">
        <f t="shared" si="8"/>
        <v>395780294380.91644</v>
      </c>
      <c r="S60" s="23">
        <f t="shared" si="0"/>
        <v>1.7907215059356573E-4</v>
      </c>
      <c r="T60" s="23">
        <f t="shared" si="1"/>
        <v>5.9690716864521912E-5</v>
      </c>
      <c r="U60" s="23">
        <f t="shared" si="2"/>
        <v>5.3721645178069724E-4</v>
      </c>
    </row>
    <row r="61" spans="1:21" x14ac:dyDescent="0.25">
      <c r="A61" s="18" t="s">
        <v>142</v>
      </c>
      <c r="B61" s="18" t="s">
        <v>143</v>
      </c>
      <c r="C61" s="18" t="s">
        <v>40</v>
      </c>
      <c r="D61" s="18" t="s">
        <v>35</v>
      </c>
      <c r="E61" s="18"/>
      <c r="F61" s="20">
        <v>6218195</v>
      </c>
      <c r="G61" s="20">
        <v>6874758</v>
      </c>
      <c r="H61" s="21">
        <v>326.89002158513563</v>
      </c>
      <c r="I61" s="22">
        <v>1.1004620318530163</v>
      </c>
      <c r="J61" s="23">
        <f t="shared" si="3"/>
        <v>359.73005734605471</v>
      </c>
      <c r="K61" s="21">
        <v>92.03</v>
      </c>
      <c r="L61" s="24">
        <f t="shared" si="4"/>
        <v>547918.21259999997</v>
      </c>
      <c r="M61" s="36">
        <f t="shared" si="5"/>
        <v>547918.21259999997</v>
      </c>
      <c r="N61" s="23">
        <v>2.7075295212977562E-2</v>
      </c>
      <c r="O61" s="24">
        <f t="shared" si="6"/>
        <v>197102650.03954577</v>
      </c>
      <c r="P61" s="36">
        <f t="shared" si="7"/>
        <v>197102650.03954577</v>
      </c>
      <c r="Q61" s="24">
        <v>390192552.90387428</v>
      </c>
      <c r="R61" s="24">
        <f t="shared" si="8"/>
        <v>5852888293.5581141</v>
      </c>
      <c r="S61" s="23">
        <f t="shared" si="0"/>
        <v>3.3676133928010138E-2</v>
      </c>
      <c r="T61" s="23">
        <f t="shared" si="1"/>
        <v>1.1225377976003379E-2</v>
      </c>
      <c r="U61" s="23">
        <f t="shared" si="2"/>
        <v>0.10102840178403041</v>
      </c>
    </row>
    <row r="62" spans="1:21" x14ac:dyDescent="0.25">
      <c r="A62" s="18" t="s">
        <v>144</v>
      </c>
      <c r="B62" s="18" t="s">
        <v>145</v>
      </c>
      <c r="C62" s="18" t="s">
        <v>29</v>
      </c>
      <c r="D62" s="18" t="s">
        <v>32</v>
      </c>
      <c r="F62" s="20">
        <v>696167</v>
      </c>
      <c r="G62" s="20">
        <v>1138788</v>
      </c>
      <c r="H62" s="21">
        <v>326.89002158513563</v>
      </c>
      <c r="I62" s="22">
        <v>1.1004620318530163</v>
      </c>
      <c r="J62" s="23">
        <f t="shared" si="3"/>
        <v>359.73005734605471</v>
      </c>
      <c r="K62" s="21">
        <v>29.145389999999999</v>
      </c>
      <c r="L62" s="24">
        <f t="shared" si="4"/>
        <v>806883.79612680001</v>
      </c>
      <c r="M62" s="36">
        <f t="shared" si="5"/>
        <v>806883.79612680001</v>
      </c>
      <c r="N62" s="23">
        <v>2.7075295212977562E-2</v>
      </c>
      <c r="O62" s="24">
        <f t="shared" si="6"/>
        <v>290260354.25229609</v>
      </c>
      <c r="P62" s="36">
        <f t="shared" si="7"/>
        <v>290260354.25229609</v>
      </c>
      <c r="Q62" s="24">
        <v>6226958917.0209513</v>
      </c>
      <c r="R62" s="24">
        <f t="shared" si="8"/>
        <v>93404383755.31427</v>
      </c>
      <c r="S62" s="23">
        <f t="shared" si="0"/>
        <v>3.1075667177749744E-3</v>
      </c>
      <c r="T62" s="23">
        <f t="shared" si="1"/>
        <v>1.0358555725916581E-3</v>
      </c>
      <c r="U62" s="23">
        <f t="shared" si="2"/>
        <v>9.3227001533249219E-3</v>
      </c>
    </row>
    <row r="63" spans="1:21" x14ac:dyDescent="0.25">
      <c r="A63" s="18" t="s">
        <v>146</v>
      </c>
      <c r="B63" s="18" t="s">
        <v>147</v>
      </c>
      <c r="C63" s="18" t="s">
        <v>14</v>
      </c>
      <c r="D63" s="18" t="s">
        <v>32</v>
      </c>
      <c r="F63" s="20">
        <v>5741159</v>
      </c>
      <c r="G63" s="20">
        <v>9782455</v>
      </c>
      <c r="H63" s="21">
        <v>326.89002158513563</v>
      </c>
      <c r="I63" s="22">
        <v>1.1004620318530163</v>
      </c>
      <c r="J63" s="23">
        <f t="shared" si="3"/>
        <v>359.73005734605471</v>
      </c>
      <c r="K63" s="21">
        <v>32.514240000000001</v>
      </c>
      <c r="L63" s="24">
        <f t="shared" si="4"/>
        <v>6601764.1034079995</v>
      </c>
      <c r="M63" s="36">
        <f t="shared" si="5"/>
        <v>6601764.1034079995</v>
      </c>
      <c r="N63" s="23">
        <v>2.7075295212977562E-2</v>
      </c>
      <c r="O63" s="24">
        <f t="shared" si="6"/>
        <v>2374852979.5040851</v>
      </c>
      <c r="P63" s="36">
        <f t="shared" si="7"/>
        <v>2374852979.5040851</v>
      </c>
      <c r="Q63" s="24">
        <v>76822965.242555067</v>
      </c>
      <c r="R63" s="24">
        <f t="shared" si="8"/>
        <v>1152344478.6383259</v>
      </c>
      <c r="S63" s="23">
        <f t="shared" si="0"/>
        <v>2.0608880621447008</v>
      </c>
      <c r="T63" s="23">
        <f t="shared" si="1"/>
        <v>0.68696268738156685</v>
      </c>
      <c r="U63" s="23">
        <f t="shared" si="2"/>
        <v>6.1826641864341019</v>
      </c>
    </row>
    <row r="64" spans="1:21" x14ac:dyDescent="0.25">
      <c r="A64" s="18" t="s">
        <v>148</v>
      </c>
      <c r="B64" s="18" t="s">
        <v>149</v>
      </c>
      <c r="C64" s="18" t="s">
        <v>45</v>
      </c>
      <c r="D64" s="18" t="s">
        <v>19</v>
      </c>
      <c r="F64" s="20">
        <v>1336887</v>
      </c>
      <c r="G64" s="20">
        <v>1212150</v>
      </c>
      <c r="H64" s="20" t="s">
        <v>232</v>
      </c>
      <c r="I64" s="22">
        <v>1.1004620318530163</v>
      </c>
      <c r="J64" s="23" t="e">
        <f t="shared" si="3"/>
        <v>#VALUE!</v>
      </c>
      <c r="K64" s="21">
        <v>100</v>
      </c>
      <c r="L64" s="24">
        <f t="shared" si="4"/>
        <v>0</v>
      </c>
      <c r="M64" s="36">
        <f t="shared" si="5"/>
        <v>0</v>
      </c>
      <c r="N64" s="23">
        <v>0</v>
      </c>
      <c r="O64" s="24" t="e">
        <f t="shared" si="6"/>
        <v>#VALUE!</v>
      </c>
      <c r="P64" s="36">
        <f t="shared" si="7"/>
        <v>0</v>
      </c>
      <c r="Q64" s="24">
        <v>524357312.05145437</v>
      </c>
      <c r="R64" s="24">
        <f t="shared" si="8"/>
        <v>7865359680.7718153</v>
      </c>
      <c r="S64" s="23" t="e">
        <f t="shared" si="0"/>
        <v>#VALUE!</v>
      </c>
      <c r="T64" s="23" t="e">
        <f t="shared" si="1"/>
        <v>#VALUE!</v>
      </c>
      <c r="U64" s="23" t="e">
        <f t="shared" si="2"/>
        <v>#VALUE!</v>
      </c>
    </row>
    <row r="65" spans="1:21" x14ac:dyDescent="0.25">
      <c r="A65" s="18" t="s">
        <v>150</v>
      </c>
      <c r="B65" s="18" t="s">
        <v>151</v>
      </c>
      <c r="C65" s="18" t="s">
        <v>14</v>
      </c>
      <c r="D65" s="18" t="s">
        <v>32</v>
      </c>
      <c r="F65" s="20">
        <v>87095281</v>
      </c>
      <c r="G65" s="20">
        <v>137669707</v>
      </c>
      <c r="H65" s="21">
        <v>326.89002158513563</v>
      </c>
      <c r="I65" s="22">
        <v>1.1004620318530163</v>
      </c>
      <c r="J65" s="23">
        <f t="shared" si="3"/>
        <v>359.73005734605471</v>
      </c>
      <c r="K65" s="21">
        <v>23</v>
      </c>
      <c r="L65" s="24">
        <f t="shared" si="4"/>
        <v>106005674.39</v>
      </c>
      <c r="M65" s="36">
        <f t="shared" si="5"/>
        <v>106005674.39</v>
      </c>
      <c r="N65" s="23">
        <v>2.7075295212977562E-2</v>
      </c>
      <c r="O65" s="24">
        <f t="shared" si="6"/>
        <v>38133427327.321899</v>
      </c>
      <c r="P65" s="36">
        <f t="shared" si="7"/>
        <v>38133427327.321899</v>
      </c>
      <c r="Q65" s="24">
        <v>5463318403.1045046</v>
      </c>
      <c r="R65" s="24">
        <f t="shared" si="8"/>
        <v>81949776046.567566</v>
      </c>
      <c r="S65" s="23">
        <f t="shared" si="0"/>
        <v>0.46532680340276661</v>
      </c>
      <c r="T65" s="23">
        <f t="shared" si="1"/>
        <v>0.15510893446758889</v>
      </c>
      <c r="U65" s="23">
        <f t="shared" si="2"/>
        <v>1.3959804102082998</v>
      </c>
    </row>
    <row r="66" spans="1:21" x14ac:dyDescent="0.25">
      <c r="A66" s="18" t="s">
        <v>152</v>
      </c>
      <c r="B66" s="18" t="s">
        <v>153</v>
      </c>
      <c r="C66" s="18" t="s">
        <v>29</v>
      </c>
      <c r="D66" s="18" t="s">
        <v>19</v>
      </c>
      <c r="F66" s="20">
        <v>49581</v>
      </c>
      <c r="G66" s="20">
        <v>51875</v>
      </c>
      <c r="H66" s="20" t="s">
        <v>232</v>
      </c>
      <c r="I66" s="22">
        <v>1.1004620318530163</v>
      </c>
      <c r="J66" s="23" t="e">
        <f t="shared" si="3"/>
        <v>#VALUE!</v>
      </c>
      <c r="K66" s="21">
        <v>100</v>
      </c>
      <c r="L66" s="24">
        <f t="shared" si="4"/>
        <v>0</v>
      </c>
      <c r="M66" s="36">
        <f t="shared" si="5"/>
        <v>0</v>
      </c>
      <c r="N66" s="23">
        <v>0</v>
      </c>
      <c r="O66" s="24" t="e">
        <f t="shared" si="6"/>
        <v>#VALUE!</v>
      </c>
      <c r="P66" s="36">
        <f t="shared" si="7"/>
        <v>0</v>
      </c>
      <c r="Q66" s="24" t="s">
        <v>232</v>
      </c>
      <c r="R66" s="24" t="e">
        <f t="shared" si="8"/>
        <v>#VALUE!</v>
      </c>
      <c r="S66" s="23" t="e">
        <f t="shared" si="0"/>
        <v>#VALUE!</v>
      </c>
      <c r="T66" s="23" t="e">
        <f t="shared" si="1"/>
        <v>#VALUE!</v>
      </c>
      <c r="U66" s="23" t="e">
        <f t="shared" si="2"/>
        <v>#VALUE!</v>
      </c>
    </row>
    <row r="67" spans="1:21" x14ac:dyDescent="0.25">
      <c r="A67" s="18" t="s">
        <v>154</v>
      </c>
      <c r="B67" s="18" t="s">
        <v>155</v>
      </c>
      <c r="C67" s="18" t="s">
        <v>18</v>
      </c>
      <c r="D67" s="18" t="s">
        <v>26</v>
      </c>
      <c r="F67" s="20">
        <v>860559</v>
      </c>
      <c r="G67" s="20">
        <v>939469</v>
      </c>
      <c r="H67" s="21">
        <v>157</v>
      </c>
      <c r="I67" s="22">
        <v>1.1004620318530163</v>
      </c>
      <c r="J67" s="23">
        <f t="shared" si="3"/>
        <v>172.77253900092356</v>
      </c>
      <c r="K67" s="21">
        <v>55.766350000000003</v>
      </c>
      <c r="L67" s="24">
        <f t="shared" si="4"/>
        <v>415561.42931850004</v>
      </c>
      <c r="M67" s="36">
        <f t="shared" si="5"/>
        <v>415561.42931850004</v>
      </c>
      <c r="N67" s="23">
        <v>0.11040303634246594</v>
      </c>
      <c r="O67" s="24">
        <f t="shared" si="6"/>
        <v>71797603.254210085</v>
      </c>
      <c r="P67" s="36">
        <f t="shared" si="7"/>
        <v>71797603.254210085</v>
      </c>
      <c r="Q67" s="24">
        <v>87317583.851148248</v>
      </c>
      <c r="R67" s="24">
        <f t="shared" si="8"/>
        <v>1309763757.7672238</v>
      </c>
      <c r="S67" s="23">
        <f t="shared" ref="S67:S130" si="9">O67/R67</f>
        <v>5.4817216332664953E-2</v>
      </c>
      <c r="T67" s="23">
        <f t="shared" si="1"/>
        <v>1.8272405444221651E-2</v>
      </c>
      <c r="U67" s="23">
        <f t="shared" si="2"/>
        <v>0.16445164899799486</v>
      </c>
    </row>
    <row r="68" spans="1:21" x14ac:dyDescent="0.25">
      <c r="A68" s="18" t="s">
        <v>156</v>
      </c>
      <c r="B68" s="18" t="s">
        <v>157</v>
      </c>
      <c r="C68" s="18" t="s">
        <v>45</v>
      </c>
      <c r="D68" s="18" t="s">
        <v>19</v>
      </c>
      <c r="F68" s="20">
        <v>5363352</v>
      </c>
      <c r="G68" s="20">
        <v>5649744</v>
      </c>
      <c r="H68" s="20" t="s">
        <v>232</v>
      </c>
      <c r="I68" s="22">
        <v>1.1004620318530163</v>
      </c>
      <c r="J68" s="23" t="e">
        <f t="shared" ref="J68:J131" si="10">H68*I68</f>
        <v>#VALUE!</v>
      </c>
      <c r="K68" s="21">
        <v>100</v>
      </c>
      <c r="L68" s="24">
        <f t="shared" ref="L68:L131" si="11">(1-(K68/100))*G68</f>
        <v>0</v>
      </c>
      <c r="M68" s="36">
        <f t="shared" ref="M68:M131" si="12">IFERROR(L68,0)</f>
        <v>0</v>
      </c>
      <c r="N68" s="23">
        <v>0</v>
      </c>
      <c r="O68" s="24" t="e">
        <f t="shared" ref="O68:O131" si="13">J68*L68</f>
        <v>#VALUE!</v>
      </c>
      <c r="P68" s="36">
        <f t="shared" ref="P68:P131" si="14">IFERROR(O68,0)</f>
        <v>0</v>
      </c>
      <c r="Q68" s="24">
        <v>3328745232.5822215</v>
      </c>
      <c r="R68" s="24">
        <f t="shared" ref="R68:R131" si="15">Q68*15</f>
        <v>49931178488.733322</v>
      </c>
      <c r="S68" s="23" t="e">
        <f t="shared" si="9"/>
        <v>#VALUE!</v>
      </c>
      <c r="T68" s="23" t="e">
        <f t="shared" si="1"/>
        <v>#VALUE!</v>
      </c>
      <c r="U68" s="23" t="e">
        <f t="shared" si="2"/>
        <v>#VALUE!</v>
      </c>
    </row>
    <row r="69" spans="1:21" x14ac:dyDescent="0.25">
      <c r="A69" s="18" t="s">
        <v>158</v>
      </c>
      <c r="B69" s="18" t="s">
        <v>159</v>
      </c>
      <c r="C69" s="18" t="s">
        <v>45</v>
      </c>
      <c r="D69" s="18" t="s">
        <v>19</v>
      </c>
      <c r="F69" s="20">
        <v>65031235</v>
      </c>
      <c r="G69" s="20">
        <v>69286370</v>
      </c>
      <c r="H69" s="20" t="s">
        <v>232</v>
      </c>
      <c r="I69" s="22">
        <v>1.1004620318530163</v>
      </c>
      <c r="J69" s="23" t="e">
        <f t="shared" si="10"/>
        <v>#VALUE!</v>
      </c>
      <c r="K69" s="21">
        <v>100</v>
      </c>
      <c r="L69" s="24">
        <f t="shared" si="11"/>
        <v>0</v>
      </c>
      <c r="M69" s="36">
        <f t="shared" si="12"/>
        <v>0</v>
      </c>
      <c r="N69" s="23">
        <v>0</v>
      </c>
      <c r="O69" s="24" t="e">
        <f t="shared" si="13"/>
        <v>#VALUE!</v>
      </c>
      <c r="P69" s="36">
        <f t="shared" si="14"/>
        <v>0</v>
      </c>
      <c r="Q69" s="24">
        <v>4406730484.3344297</v>
      </c>
      <c r="R69" s="24">
        <f t="shared" si="15"/>
        <v>66100957265.016449</v>
      </c>
      <c r="S69" s="23" t="e">
        <f t="shared" si="9"/>
        <v>#VALUE!</v>
      </c>
      <c r="T69" s="23" t="e">
        <f t="shared" ref="T69:T132" si="16">(O69/2)/(R69*1.5)</f>
        <v>#VALUE!</v>
      </c>
      <c r="U69" s="23" t="e">
        <f t="shared" ref="U69:U132" si="17">(O69*1.5)/(R69/2)</f>
        <v>#VALUE!</v>
      </c>
    </row>
    <row r="70" spans="1:21" x14ac:dyDescent="0.25">
      <c r="A70" s="18" t="s">
        <v>160</v>
      </c>
      <c r="B70" s="18" t="s">
        <v>161</v>
      </c>
      <c r="C70" s="18" t="s">
        <v>29</v>
      </c>
      <c r="D70" s="18" t="s">
        <v>26</v>
      </c>
      <c r="F70" s="20">
        <v>268065</v>
      </c>
      <c r="G70" s="20">
        <v>318041</v>
      </c>
      <c r="H70" s="21">
        <v>157</v>
      </c>
      <c r="I70" s="22">
        <v>1.1004620318530163</v>
      </c>
      <c r="J70" s="23">
        <f t="shared" si="10"/>
        <v>172.77253900092356</v>
      </c>
      <c r="K70" s="21">
        <v>55.766350000000003</v>
      </c>
      <c r="L70" s="24">
        <f t="shared" si="11"/>
        <v>140681.1427965</v>
      </c>
      <c r="M70" s="36">
        <f t="shared" si="12"/>
        <v>140681.1427965</v>
      </c>
      <c r="N70" s="23">
        <v>0.11040303634246594</v>
      </c>
      <c r="O70" s="24">
        <f t="shared" si="13"/>
        <v>24305838.230502792</v>
      </c>
      <c r="P70" s="36">
        <f t="shared" si="14"/>
        <v>24305838.230502792</v>
      </c>
      <c r="Q70" s="24" t="s">
        <v>232</v>
      </c>
      <c r="R70" s="24" t="e">
        <f t="shared" si="15"/>
        <v>#VALUE!</v>
      </c>
      <c r="S70" s="23" t="e">
        <f t="shared" si="9"/>
        <v>#VALUE!</v>
      </c>
      <c r="T70" s="23" t="e">
        <f t="shared" si="16"/>
        <v>#VALUE!</v>
      </c>
      <c r="U70" s="23" t="e">
        <f t="shared" si="17"/>
        <v>#VALUE!</v>
      </c>
    </row>
    <row r="71" spans="1:21" x14ac:dyDescent="0.25">
      <c r="A71" s="18" t="s">
        <v>162</v>
      </c>
      <c r="B71" s="18" t="s">
        <v>163</v>
      </c>
      <c r="C71" s="18" t="s">
        <v>18</v>
      </c>
      <c r="D71" s="18" t="s">
        <v>32</v>
      </c>
      <c r="F71" s="20">
        <v>1556222</v>
      </c>
      <c r="G71" s="20">
        <v>2382369</v>
      </c>
      <c r="H71" s="21">
        <v>326.89002158513563</v>
      </c>
      <c r="I71" s="22">
        <v>1.1004620318530163</v>
      </c>
      <c r="J71" s="23">
        <f t="shared" si="10"/>
        <v>359.73005734605471</v>
      </c>
      <c r="K71" s="21">
        <v>81.599999999999994</v>
      </c>
      <c r="L71" s="24">
        <f t="shared" si="11"/>
        <v>438355.89600000012</v>
      </c>
      <c r="M71" s="36">
        <f t="shared" si="12"/>
        <v>438355.89600000012</v>
      </c>
      <c r="N71" s="23">
        <v>2.7075295212977562E-2</v>
      </c>
      <c r="O71" s="24">
        <f t="shared" si="13"/>
        <v>157689791.60606125</v>
      </c>
      <c r="P71" s="36">
        <f t="shared" si="14"/>
        <v>157689791.60606125</v>
      </c>
      <c r="Q71" s="24">
        <v>6654882999.5966587</v>
      </c>
      <c r="R71" s="24">
        <f t="shared" si="15"/>
        <v>99823244993.949875</v>
      </c>
      <c r="S71" s="23">
        <f t="shared" si="9"/>
        <v>1.5796900973878236E-3</v>
      </c>
      <c r="T71" s="23">
        <f t="shared" si="16"/>
        <v>5.2656336579594125E-4</v>
      </c>
      <c r="U71" s="23">
        <f t="shared" si="17"/>
        <v>4.7390702921634711E-3</v>
      </c>
    </row>
    <row r="72" spans="1:21" x14ac:dyDescent="0.25">
      <c r="A72" s="18" t="s">
        <v>164</v>
      </c>
      <c r="B72" s="18" t="s">
        <v>165</v>
      </c>
      <c r="C72" s="18" t="s">
        <v>14</v>
      </c>
      <c r="D72" s="18" t="s">
        <v>32</v>
      </c>
      <c r="F72" s="20">
        <v>1680640</v>
      </c>
      <c r="G72" s="24">
        <v>3056357</v>
      </c>
      <c r="H72" s="21">
        <v>326.89002158513563</v>
      </c>
      <c r="I72" s="22">
        <v>1.1004620318530163</v>
      </c>
      <c r="J72" s="23">
        <f t="shared" si="10"/>
        <v>359.73005734605471</v>
      </c>
      <c r="K72" s="21">
        <v>30.96424</v>
      </c>
      <c r="L72" s="24">
        <f t="shared" si="11"/>
        <v>2109979.2832632</v>
      </c>
      <c r="M72" s="36">
        <f t="shared" si="12"/>
        <v>2109979.2832632</v>
      </c>
      <c r="N72" s="23">
        <v>2.7075295212977562E-2</v>
      </c>
      <c r="O72" s="24">
        <f t="shared" si="13"/>
        <v>759022968.56725836</v>
      </c>
      <c r="P72" s="36">
        <f t="shared" si="14"/>
        <v>759022968.56725836</v>
      </c>
      <c r="Q72" s="24">
        <v>45972784.152787477</v>
      </c>
      <c r="R72" s="24">
        <f t="shared" si="15"/>
        <v>689591762.29181218</v>
      </c>
      <c r="S72" s="23">
        <f t="shared" si="9"/>
        <v>1.1006845065038136</v>
      </c>
      <c r="T72" s="23">
        <f t="shared" si="16"/>
        <v>0.36689483550127117</v>
      </c>
      <c r="U72" s="23">
        <f t="shared" si="17"/>
        <v>3.3020535195114404</v>
      </c>
    </row>
    <row r="73" spans="1:21" x14ac:dyDescent="0.25">
      <c r="A73" s="18" t="s">
        <v>166</v>
      </c>
      <c r="B73" s="18" t="s">
        <v>167</v>
      </c>
      <c r="C73" s="18" t="s">
        <v>40</v>
      </c>
      <c r="D73" s="18" t="s">
        <v>19</v>
      </c>
      <c r="F73" s="20">
        <v>4452800</v>
      </c>
      <c r="G73" s="20">
        <v>3953077</v>
      </c>
      <c r="H73" s="20" t="s">
        <v>232</v>
      </c>
      <c r="I73" s="22">
        <v>1.1004620318530163</v>
      </c>
      <c r="J73" s="23" t="e">
        <f t="shared" si="10"/>
        <v>#VALUE!</v>
      </c>
      <c r="K73" s="21">
        <v>100</v>
      </c>
      <c r="L73" s="24">
        <f t="shared" si="11"/>
        <v>0</v>
      </c>
      <c r="M73" s="36">
        <f t="shared" si="12"/>
        <v>0</v>
      </c>
      <c r="N73" s="23">
        <v>0</v>
      </c>
      <c r="O73" s="24" t="e">
        <f t="shared" si="13"/>
        <v>#VALUE!</v>
      </c>
      <c r="P73" s="36">
        <f t="shared" si="14"/>
        <v>0</v>
      </c>
      <c r="Q73" s="24">
        <v>123856542.27513833</v>
      </c>
      <c r="R73" s="24">
        <f t="shared" si="15"/>
        <v>1857848134.127075</v>
      </c>
      <c r="S73" s="23" t="e">
        <f t="shared" si="9"/>
        <v>#VALUE!</v>
      </c>
      <c r="T73" s="23" t="e">
        <f t="shared" si="16"/>
        <v>#VALUE!</v>
      </c>
      <c r="U73" s="23" t="e">
        <f t="shared" si="17"/>
        <v>#VALUE!</v>
      </c>
    </row>
    <row r="74" spans="1:21" x14ac:dyDescent="0.25">
      <c r="A74" s="18" t="s">
        <v>168</v>
      </c>
      <c r="B74" s="18" t="s">
        <v>169</v>
      </c>
      <c r="C74" s="18" t="s">
        <v>45</v>
      </c>
      <c r="D74" s="18" t="s">
        <v>19</v>
      </c>
      <c r="F74" s="20">
        <v>81776930</v>
      </c>
      <c r="G74" s="20">
        <v>79551501</v>
      </c>
      <c r="H74" s="20" t="s">
        <v>232</v>
      </c>
      <c r="I74" s="22">
        <v>1.1004620318530163</v>
      </c>
      <c r="J74" s="23" t="e">
        <f t="shared" si="10"/>
        <v>#VALUE!</v>
      </c>
      <c r="K74" s="21">
        <v>100</v>
      </c>
      <c r="L74" s="24">
        <f t="shared" si="11"/>
        <v>0</v>
      </c>
      <c r="M74" s="36">
        <f t="shared" si="12"/>
        <v>0</v>
      </c>
      <c r="N74" s="23">
        <v>0</v>
      </c>
      <c r="O74" s="24" t="e">
        <f t="shared" si="13"/>
        <v>#VALUE!</v>
      </c>
      <c r="P74" s="36">
        <f t="shared" si="14"/>
        <v>0</v>
      </c>
      <c r="Q74" s="24">
        <v>6763891296.0023947</v>
      </c>
      <c r="R74" s="24">
        <f t="shared" si="15"/>
        <v>101458369440.03592</v>
      </c>
      <c r="S74" s="23" t="e">
        <f t="shared" si="9"/>
        <v>#VALUE!</v>
      </c>
      <c r="T74" s="23" t="e">
        <f t="shared" si="16"/>
        <v>#VALUE!</v>
      </c>
      <c r="U74" s="23" t="e">
        <f t="shared" si="17"/>
        <v>#VALUE!</v>
      </c>
    </row>
    <row r="75" spans="1:21" x14ac:dyDescent="0.25">
      <c r="A75" s="18" t="s">
        <v>170</v>
      </c>
      <c r="B75" s="18" t="s">
        <v>171</v>
      </c>
      <c r="C75" s="18" t="s">
        <v>40</v>
      </c>
      <c r="D75" s="18" t="s">
        <v>32</v>
      </c>
      <c r="F75" s="20">
        <v>24262901</v>
      </c>
      <c r="G75" s="20">
        <v>35264291</v>
      </c>
      <c r="H75" s="21">
        <v>326.89002158513563</v>
      </c>
      <c r="I75" s="22">
        <v>1.1004620318530163</v>
      </c>
      <c r="J75" s="23">
        <f t="shared" si="10"/>
        <v>359.73005734605471</v>
      </c>
      <c r="K75" s="21">
        <v>60.5</v>
      </c>
      <c r="L75" s="24">
        <f t="shared" si="11"/>
        <v>13929394.945</v>
      </c>
      <c r="M75" s="36">
        <f t="shared" si="12"/>
        <v>13929394.945</v>
      </c>
      <c r="N75" s="23">
        <v>2.7075295212977562E-2</v>
      </c>
      <c r="O75" s="24">
        <f t="shared" si="13"/>
        <v>5010822042.3606949</v>
      </c>
      <c r="P75" s="36">
        <f t="shared" si="14"/>
        <v>5010822042.3606949</v>
      </c>
      <c r="Q75" s="24">
        <v>4194607406.4218354</v>
      </c>
      <c r="R75" s="24">
        <f t="shared" si="15"/>
        <v>62919111096.32753</v>
      </c>
      <c r="S75" s="23">
        <f t="shared" si="9"/>
        <v>7.9639110519048123E-2</v>
      </c>
      <c r="T75" s="23">
        <f t="shared" si="16"/>
        <v>2.6546370173016035E-2</v>
      </c>
      <c r="U75" s="23">
        <f t="shared" si="17"/>
        <v>0.23891733155714434</v>
      </c>
    </row>
    <row r="76" spans="1:21" x14ac:dyDescent="0.25">
      <c r="A76" s="18" t="s">
        <v>172</v>
      </c>
      <c r="B76" s="18" t="s">
        <v>173</v>
      </c>
      <c r="C76" s="18" t="s">
        <v>45</v>
      </c>
      <c r="D76" s="18" t="s">
        <v>19</v>
      </c>
      <c r="F76" s="20">
        <v>11307502</v>
      </c>
      <c r="G76" s="20">
        <v>10975530</v>
      </c>
      <c r="H76" s="20" t="s">
        <v>232</v>
      </c>
      <c r="I76" s="22">
        <v>1.1004620318530163</v>
      </c>
      <c r="J76" s="23" t="e">
        <f t="shared" si="10"/>
        <v>#VALUE!</v>
      </c>
      <c r="K76" s="21">
        <v>100</v>
      </c>
      <c r="L76" s="24">
        <f t="shared" si="11"/>
        <v>0</v>
      </c>
      <c r="M76" s="36">
        <f t="shared" si="12"/>
        <v>0</v>
      </c>
      <c r="N76" s="23">
        <v>0</v>
      </c>
      <c r="O76" s="24" t="e">
        <f t="shared" si="13"/>
        <v>#VALUE!</v>
      </c>
      <c r="P76" s="36">
        <f t="shared" si="14"/>
        <v>0</v>
      </c>
      <c r="Q76" s="24">
        <v>629296452.81922984</v>
      </c>
      <c r="R76" s="24">
        <f t="shared" si="15"/>
        <v>9439446792.2884483</v>
      </c>
      <c r="S76" s="23" t="e">
        <f t="shared" si="9"/>
        <v>#VALUE!</v>
      </c>
      <c r="T76" s="23" t="e">
        <f t="shared" si="16"/>
        <v>#VALUE!</v>
      </c>
      <c r="U76" s="23" t="e">
        <f t="shared" si="17"/>
        <v>#VALUE!</v>
      </c>
    </row>
    <row r="77" spans="1:21" x14ac:dyDescent="0.25">
      <c r="A77" s="18" t="s">
        <v>174</v>
      </c>
      <c r="B77" s="18" t="s">
        <v>175</v>
      </c>
      <c r="C77" s="18" t="s">
        <v>29</v>
      </c>
      <c r="D77" s="18" t="s">
        <v>19</v>
      </c>
      <c r="F77" s="20">
        <v>56905</v>
      </c>
      <c r="G77" s="20">
        <v>54649</v>
      </c>
      <c r="H77" s="20" t="s">
        <v>232</v>
      </c>
      <c r="I77" s="22">
        <v>1.1004620318530163</v>
      </c>
      <c r="J77" s="23" t="e">
        <f t="shared" si="10"/>
        <v>#VALUE!</v>
      </c>
      <c r="K77" s="21">
        <v>100</v>
      </c>
      <c r="L77" s="24">
        <f t="shared" si="11"/>
        <v>0</v>
      </c>
      <c r="M77" s="36">
        <f t="shared" si="12"/>
        <v>0</v>
      </c>
      <c r="N77" s="23">
        <v>0</v>
      </c>
      <c r="O77" s="24" t="e">
        <f t="shared" si="13"/>
        <v>#VALUE!</v>
      </c>
      <c r="P77" s="36">
        <f t="shared" si="14"/>
        <v>0</v>
      </c>
      <c r="Q77" s="24" t="s">
        <v>232</v>
      </c>
      <c r="R77" s="24" t="e">
        <f t="shared" si="15"/>
        <v>#VALUE!</v>
      </c>
      <c r="S77" s="23" t="e">
        <f t="shared" si="9"/>
        <v>#VALUE!</v>
      </c>
      <c r="T77" s="23" t="e">
        <f t="shared" si="16"/>
        <v>#VALUE!</v>
      </c>
      <c r="U77" s="23" t="e">
        <f t="shared" si="17"/>
        <v>#VALUE!</v>
      </c>
    </row>
    <row r="78" spans="1:21" s="31" customFormat="1" x14ac:dyDescent="0.25">
      <c r="A78" s="25" t="s">
        <v>176</v>
      </c>
      <c r="B78" s="25" t="s">
        <v>177</v>
      </c>
      <c r="C78" s="25" t="s">
        <v>18</v>
      </c>
      <c r="D78" s="25" t="s">
        <v>35</v>
      </c>
      <c r="E78" s="25"/>
      <c r="F78" s="26">
        <v>104677</v>
      </c>
      <c r="G78" s="26">
        <v>107433</v>
      </c>
      <c r="H78" s="27">
        <v>326.89002158513563</v>
      </c>
      <c r="I78" s="28">
        <v>1.1004620318530163</v>
      </c>
      <c r="J78" s="29">
        <f t="shared" si="10"/>
        <v>359.73005734605471</v>
      </c>
      <c r="K78" s="27">
        <v>88.229380000000006</v>
      </c>
      <c r="L78" s="24">
        <f t="shared" si="11"/>
        <v>12645.530184599998</v>
      </c>
      <c r="M78" s="36">
        <f t="shared" si="12"/>
        <v>12645.530184599998</v>
      </c>
      <c r="N78" s="29">
        <v>2.7075295212977562E-2</v>
      </c>
      <c r="O78" s="24">
        <f t="shared" si="13"/>
        <v>4548977.2984774234</v>
      </c>
      <c r="P78" s="36">
        <f t="shared" si="14"/>
        <v>4548977.2984774234</v>
      </c>
      <c r="Q78" s="30">
        <v>0</v>
      </c>
      <c r="R78" s="24">
        <f t="shared" si="15"/>
        <v>0</v>
      </c>
      <c r="S78" s="23" t="e">
        <f t="shared" si="9"/>
        <v>#DIV/0!</v>
      </c>
      <c r="T78" s="23" t="e">
        <f t="shared" si="16"/>
        <v>#DIV/0!</v>
      </c>
      <c r="U78" s="23" t="e">
        <f t="shared" si="17"/>
        <v>#DIV/0!</v>
      </c>
    </row>
    <row r="79" spans="1:21" x14ac:dyDescent="0.25">
      <c r="A79" s="18" t="s">
        <v>178</v>
      </c>
      <c r="B79" s="18" t="s">
        <v>179</v>
      </c>
      <c r="C79" s="18" t="s">
        <v>29</v>
      </c>
      <c r="D79" s="18" t="s">
        <v>26</v>
      </c>
      <c r="F79" s="20">
        <v>159440</v>
      </c>
      <c r="G79" s="20">
        <v>200008</v>
      </c>
      <c r="H79" s="21">
        <v>157</v>
      </c>
      <c r="I79" s="22">
        <v>1.1004620318530163</v>
      </c>
      <c r="J79" s="23">
        <f t="shared" si="10"/>
        <v>172.77253900092356</v>
      </c>
      <c r="K79" s="21">
        <v>55.766350000000003</v>
      </c>
      <c r="L79" s="24">
        <f t="shared" si="11"/>
        <v>88470.838692000005</v>
      </c>
      <c r="M79" s="36">
        <f t="shared" si="12"/>
        <v>88470.838692000005</v>
      </c>
      <c r="N79" s="23">
        <v>0.11040303634246594</v>
      </c>
      <c r="O79" s="24">
        <f t="shared" si="13"/>
        <v>15285331.428357989</v>
      </c>
      <c r="P79" s="36">
        <f t="shared" si="14"/>
        <v>15285331.428357989</v>
      </c>
      <c r="Q79" s="24" t="s">
        <v>232</v>
      </c>
      <c r="R79" s="24" t="e">
        <f t="shared" si="15"/>
        <v>#VALUE!</v>
      </c>
      <c r="S79" s="23" t="e">
        <f t="shared" si="9"/>
        <v>#VALUE!</v>
      </c>
      <c r="T79" s="23" t="e">
        <f t="shared" si="16"/>
        <v>#VALUE!</v>
      </c>
      <c r="U79" s="23" t="e">
        <f t="shared" si="17"/>
        <v>#VALUE!</v>
      </c>
    </row>
    <row r="80" spans="1:21" x14ac:dyDescent="0.25">
      <c r="A80" s="18" t="s">
        <v>180</v>
      </c>
      <c r="B80" s="18" t="s">
        <v>181</v>
      </c>
      <c r="C80" s="18" t="s">
        <v>40</v>
      </c>
      <c r="D80" s="18" t="s">
        <v>35</v>
      </c>
      <c r="E80" s="18"/>
      <c r="F80" s="20">
        <v>14341576</v>
      </c>
      <c r="G80" s="20">
        <v>22566243</v>
      </c>
      <c r="H80" s="21">
        <v>326.89002158513563</v>
      </c>
      <c r="I80" s="22">
        <v>1.1004620318530163</v>
      </c>
      <c r="J80" s="23">
        <f t="shared" si="10"/>
        <v>359.73005734605471</v>
      </c>
      <c r="K80" s="21">
        <v>81.78</v>
      </c>
      <c r="L80" s="24">
        <f t="shared" si="11"/>
        <v>4111569.4746000008</v>
      </c>
      <c r="M80" s="36">
        <f t="shared" si="12"/>
        <v>4111569.4746000008</v>
      </c>
      <c r="N80" s="23">
        <v>2.7075295212977562E-2</v>
      </c>
      <c r="O80" s="24">
        <f t="shared" si="13"/>
        <v>1479055122.8801463</v>
      </c>
      <c r="P80" s="36">
        <f t="shared" si="14"/>
        <v>1479055122.8801463</v>
      </c>
      <c r="Q80" s="24">
        <v>1835017152.9300125</v>
      </c>
      <c r="R80" s="24">
        <f t="shared" si="15"/>
        <v>27525257293.950188</v>
      </c>
      <c r="S80" s="23">
        <f t="shared" si="9"/>
        <v>5.3734470384232513E-2</v>
      </c>
      <c r="T80" s="23">
        <f t="shared" si="16"/>
        <v>1.7911490128077506E-2</v>
      </c>
      <c r="U80" s="23">
        <f t="shared" si="17"/>
        <v>0.16120341115269754</v>
      </c>
    </row>
    <row r="81" spans="1:21" x14ac:dyDescent="0.25">
      <c r="A81" s="18" t="s">
        <v>182</v>
      </c>
      <c r="B81" s="18" t="s">
        <v>183</v>
      </c>
      <c r="C81" s="18" t="s">
        <v>14</v>
      </c>
      <c r="D81" s="18" t="s">
        <v>32</v>
      </c>
      <c r="F81" s="20">
        <v>10876033</v>
      </c>
      <c r="G81" s="20">
        <v>17322136</v>
      </c>
      <c r="H81" s="21">
        <v>326.89002158513563</v>
      </c>
      <c r="I81" s="22">
        <v>1.1004620318530163</v>
      </c>
      <c r="J81" s="23">
        <f t="shared" si="10"/>
        <v>359.73005734605471</v>
      </c>
      <c r="K81" s="21">
        <v>20.2</v>
      </c>
      <c r="L81" s="24">
        <f t="shared" si="11"/>
        <v>13823064.528000001</v>
      </c>
      <c r="M81" s="36">
        <f t="shared" si="12"/>
        <v>13823064.528000001</v>
      </c>
      <c r="N81" s="23">
        <v>2.7075295212977562E-2</v>
      </c>
      <c r="O81" s="24">
        <f t="shared" si="13"/>
        <v>4972571795.3556547</v>
      </c>
      <c r="P81" s="36">
        <f t="shared" si="14"/>
        <v>4972571795.3556547</v>
      </c>
      <c r="Q81" s="24">
        <v>1333953226.6564479</v>
      </c>
      <c r="R81" s="24">
        <f t="shared" si="15"/>
        <v>20009298399.846718</v>
      </c>
      <c r="S81" s="23">
        <f t="shared" si="9"/>
        <v>0.24851305108197833</v>
      </c>
      <c r="T81" s="23">
        <f t="shared" si="16"/>
        <v>8.2837683693992775E-2</v>
      </c>
      <c r="U81" s="23">
        <f t="shared" si="17"/>
        <v>0.745539153245935</v>
      </c>
    </row>
    <row r="82" spans="1:21" x14ac:dyDescent="0.25">
      <c r="A82" s="18" t="s">
        <v>184</v>
      </c>
      <c r="B82" s="18" t="s">
        <v>185</v>
      </c>
      <c r="C82" s="18" t="s">
        <v>14</v>
      </c>
      <c r="D82" s="18" t="s">
        <v>32</v>
      </c>
      <c r="F82" s="20">
        <v>1586624</v>
      </c>
      <c r="G82" s="20">
        <v>2472642</v>
      </c>
      <c r="H82" s="21">
        <v>326.89002158513563</v>
      </c>
      <c r="I82" s="22">
        <v>1.1004620318530163</v>
      </c>
      <c r="J82" s="23">
        <f t="shared" si="10"/>
        <v>359.73005734605471</v>
      </c>
      <c r="K82" s="21">
        <v>57.044159999999998</v>
      </c>
      <c r="L82" s="24">
        <f t="shared" si="11"/>
        <v>1062144.1412928</v>
      </c>
      <c r="M82" s="36">
        <f t="shared" si="12"/>
        <v>1062144.1412928</v>
      </c>
      <c r="N82" s="23">
        <v>2.7075295212977562E-2</v>
      </c>
      <c r="O82" s="24">
        <f t="shared" si="13"/>
        <v>382085172.85703498</v>
      </c>
      <c r="P82" s="36">
        <f t="shared" si="14"/>
        <v>382085172.85703498</v>
      </c>
      <c r="Q82" s="24">
        <v>142038641.37615088</v>
      </c>
      <c r="R82" s="24">
        <f t="shared" si="15"/>
        <v>2130579620.6422632</v>
      </c>
      <c r="S82" s="23">
        <f t="shared" si="9"/>
        <v>0.17933390949353745</v>
      </c>
      <c r="T82" s="23">
        <f t="shared" si="16"/>
        <v>5.9777969831179154E-2</v>
      </c>
      <c r="U82" s="23">
        <f t="shared" si="17"/>
        <v>0.53800172848061234</v>
      </c>
    </row>
    <row r="83" spans="1:21" x14ac:dyDescent="0.25">
      <c r="A83" s="18" t="s">
        <v>186</v>
      </c>
      <c r="B83" s="18" t="s">
        <v>187</v>
      </c>
      <c r="C83" s="18" t="s">
        <v>40</v>
      </c>
      <c r="D83" s="18" t="s">
        <v>35</v>
      </c>
      <c r="E83" s="18"/>
      <c r="F83" s="20">
        <v>786126</v>
      </c>
      <c r="G83" s="20">
        <v>852670</v>
      </c>
      <c r="H83" s="21">
        <v>326.89002158513563</v>
      </c>
      <c r="I83" s="22">
        <v>1.1004620318530163</v>
      </c>
      <c r="J83" s="23">
        <f t="shared" si="10"/>
        <v>359.73005734605471</v>
      </c>
      <c r="K83" s="21">
        <v>77.599999999999994</v>
      </c>
      <c r="L83" s="24">
        <f t="shared" si="11"/>
        <v>190998.08000000007</v>
      </c>
      <c r="M83" s="36">
        <f t="shared" si="12"/>
        <v>190998.08000000007</v>
      </c>
      <c r="N83" s="23">
        <v>2.7075295212977562E-2</v>
      </c>
      <c r="O83" s="24">
        <f t="shared" si="13"/>
        <v>68707750.27138637</v>
      </c>
      <c r="P83" s="36">
        <f t="shared" si="14"/>
        <v>68707750.27138637</v>
      </c>
      <c r="Q83" s="24">
        <v>405082963.00590253</v>
      </c>
      <c r="R83" s="24">
        <f t="shared" si="15"/>
        <v>6076244445.0885382</v>
      </c>
      <c r="S83" s="23">
        <f t="shared" si="9"/>
        <v>1.1307601412731712E-2</v>
      </c>
      <c r="T83" s="23">
        <f t="shared" si="16"/>
        <v>3.7692004709105708E-3</v>
      </c>
      <c r="U83" s="23">
        <f t="shared" si="17"/>
        <v>3.3922804238195131E-2</v>
      </c>
    </row>
    <row r="84" spans="1:21" x14ac:dyDescent="0.25">
      <c r="A84" s="18" t="s">
        <v>188</v>
      </c>
      <c r="B84" s="18" t="s">
        <v>189</v>
      </c>
      <c r="C84" s="18" t="s">
        <v>14</v>
      </c>
      <c r="D84" s="18" t="s">
        <v>35</v>
      </c>
      <c r="E84" s="18"/>
      <c r="F84" s="20">
        <v>9896400</v>
      </c>
      <c r="G84" s="20">
        <v>12536811</v>
      </c>
      <c r="H84" s="21">
        <v>326.89002158513563</v>
      </c>
      <c r="I84" s="22">
        <v>1.1004620318530163</v>
      </c>
      <c r="J84" s="23">
        <f t="shared" si="10"/>
        <v>359.73005734605471</v>
      </c>
      <c r="K84" s="21">
        <v>33.9</v>
      </c>
      <c r="L84" s="24">
        <f t="shared" si="11"/>
        <v>8286832.0710000005</v>
      </c>
      <c r="M84" s="36">
        <f t="shared" si="12"/>
        <v>8286832.0710000005</v>
      </c>
      <c r="N84" s="23">
        <v>2.7075295212977562E-2</v>
      </c>
      <c r="O84" s="24">
        <f t="shared" si="13"/>
        <v>2981022576.1179557</v>
      </c>
      <c r="P84" s="36">
        <f t="shared" si="14"/>
        <v>2981022576.1179557</v>
      </c>
      <c r="Q84" s="24">
        <v>161012362.10944861</v>
      </c>
      <c r="R84" s="24">
        <f t="shared" si="15"/>
        <v>2415185431.6417294</v>
      </c>
      <c r="S84" s="23">
        <f t="shared" si="9"/>
        <v>1.2342831059938932</v>
      </c>
      <c r="T84" s="23">
        <f t="shared" si="16"/>
        <v>0.41142770199796447</v>
      </c>
      <c r="U84" s="23">
        <f t="shared" si="17"/>
        <v>3.7028493179816797</v>
      </c>
    </row>
    <row r="85" spans="1:21" x14ac:dyDescent="0.25">
      <c r="A85" s="18" t="s">
        <v>190</v>
      </c>
      <c r="B85" s="18" t="s">
        <v>191</v>
      </c>
      <c r="C85" s="18" t="s">
        <v>40</v>
      </c>
      <c r="D85" s="18" t="s">
        <v>35</v>
      </c>
      <c r="E85" s="18"/>
      <c r="F85" s="20">
        <v>7621204</v>
      </c>
      <c r="G85" s="20">
        <v>10811004</v>
      </c>
      <c r="H85" s="21">
        <v>326.89002158513563</v>
      </c>
      <c r="I85" s="22">
        <v>1.1004620318530163</v>
      </c>
      <c r="J85" s="23">
        <f t="shared" si="10"/>
        <v>359.73005734605471</v>
      </c>
      <c r="K85" s="21">
        <v>80.98</v>
      </c>
      <c r="L85" s="24">
        <f t="shared" si="11"/>
        <v>2056252.9607999991</v>
      </c>
      <c r="M85" s="36">
        <f t="shared" si="12"/>
        <v>2056252.9607999991</v>
      </c>
      <c r="N85" s="23">
        <v>2.7075295212977562E-2</v>
      </c>
      <c r="O85" s="24">
        <f t="shared" si="13"/>
        <v>739695995.50657845</v>
      </c>
      <c r="P85" s="36">
        <f t="shared" si="14"/>
        <v>739695995.50657845</v>
      </c>
      <c r="Q85" s="24">
        <v>717924436.29793561</v>
      </c>
      <c r="R85" s="24">
        <f t="shared" si="15"/>
        <v>10768866544.469034</v>
      </c>
      <c r="S85" s="23">
        <f t="shared" si="9"/>
        <v>6.8688379826425797E-2</v>
      </c>
      <c r="T85" s="23">
        <f t="shared" si="16"/>
        <v>2.2896126608808597E-2</v>
      </c>
      <c r="U85" s="23">
        <f t="shared" si="17"/>
        <v>0.20606513947927738</v>
      </c>
    </row>
    <row r="86" spans="1:21" x14ac:dyDescent="0.25">
      <c r="A86" s="18" t="s">
        <v>192</v>
      </c>
      <c r="B86" s="18" t="s">
        <v>193</v>
      </c>
      <c r="C86" s="18" t="s">
        <v>29</v>
      </c>
      <c r="D86" s="18" t="s">
        <v>26</v>
      </c>
      <c r="F86" s="20">
        <v>7024200</v>
      </c>
      <c r="G86" s="24">
        <v>7885155</v>
      </c>
      <c r="H86" s="21">
        <v>157</v>
      </c>
      <c r="I86" s="22">
        <v>1.1004620318530163</v>
      </c>
      <c r="J86" s="23">
        <f t="shared" si="10"/>
        <v>172.77253900092356</v>
      </c>
      <c r="K86" s="21">
        <v>100</v>
      </c>
      <c r="L86" s="24">
        <f t="shared" si="11"/>
        <v>0</v>
      </c>
      <c r="M86" s="36">
        <f t="shared" si="12"/>
        <v>0</v>
      </c>
      <c r="N86" s="23">
        <v>0.11040303634246594</v>
      </c>
      <c r="O86" s="24">
        <f t="shared" si="13"/>
        <v>0</v>
      </c>
      <c r="P86" s="36">
        <f t="shared" si="14"/>
        <v>0</v>
      </c>
      <c r="Q86" s="24">
        <v>3134453.5797919827</v>
      </c>
      <c r="R86" s="24">
        <f t="shared" si="15"/>
        <v>47016803.696879737</v>
      </c>
      <c r="S86" s="23">
        <f t="shared" si="9"/>
        <v>0</v>
      </c>
      <c r="T86" s="23">
        <f t="shared" si="16"/>
        <v>0</v>
      </c>
      <c r="U86" s="23">
        <f t="shared" si="17"/>
        <v>0</v>
      </c>
    </row>
    <row r="87" spans="1:21" x14ac:dyDescent="0.25">
      <c r="A87" s="18" t="s">
        <v>194</v>
      </c>
      <c r="B87" s="18" t="s">
        <v>195</v>
      </c>
      <c r="C87" s="18" t="s">
        <v>18</v>
      </c>
      <c r="D87" s="18" t="s">
        <v>19</v>
      </c>
      <c r="F87" s="20">
        <v>10000023</v>
      </c>
      <c r="G87" s="20">
        <v>9525243</v>
      </c>
      <c r="H87" s="20" t="s">
        <v>232</v>
      </c>
      <c r="I87" s="22">
        <v>1.1004620318530163</v>
      </c>
      <c r="J87" s="23" t="e">
        <f t="shared" si="10"/>
        <v>#VALUE!</v>
      </c>
      <c r="K87" s="21">
        <v>100</v>
      </c>
      <c r="L87" s="24">
        <f t="shared" si="11"/>
        <v>0</v>
      </c>
      <c r="M87" s="36">
        <f t="shared" si="12"/>
        <v>0</v>
      </c>
      <c r="N87" s="23">
        <v>0</v>
      </c>
      <c r="O87" s="24" t="e">
        <f t="shared" si="13"/>
        <v>#VALUE!</v>
      </c>
      <c r="P87" s="36">
        <f t="shared" si="14"/>
        <v>0</v>
      </c>
      <c r="Q87" s="24">
        <v>1095685098.3472166</v>
      </c>
      <c r="R87" s="24">
        <f t="shared" si="15"/>
        <v>16435276475.208248</v>
      </c>
      <c r="S87" s="23" t="e">
        <f t="shared" si="9"/>
        <v>#VALUE!</v>
      </c>
      <c r="T87" s="23" t="e">
        <f t="shared" si="16"/>
        <v>#VALUE!</v>
      </c>
      <c r="U87" s="23" t="e">
        <f t="shared" si="17"/>
        <v>#VALUE!</v>
      </c>
    </row>
    <row r="88" spans="1:21" x14ac:dyDescent="0.25">
      <c r="A88" s="18" t="s">
        <v>196</v>
      </c>
      <c r="B88" s="18" t="s">
        <v>197</v>
      </c>
      <c r="C88" s="18" t="s">
        <v>45</v>
      </c>
      <c r="D88" s="18" t="s">
        <v>19</v>
      </c>
      <c r="F88" s="20">
        <v>318041</v>
      </c>
      <c r="G88" s="20">
        <v>383558</v>
      </c>
      <c r="H88" s="20" t="s">
        <v>232</v>
      </c>
      <c r="I88" s="22">
        <v>1.1004620318530163</v>
      </c>
      <c r="J88" s="23" t="e">
        <f t="shared" si="10"/>
        <v>#VALUE!</v>
      </c>
      <c r="K88" s="21">
        <v>100</v>
      </c>
      <c r="L88" s="24">
        <f t="shared" si="11"/>
        <v>0</v>
      </c>
      <c r="M88" s="36">
        <f t="shared" si="12"/>
        <v>0</v>
      </c>
      <c r="N88" s="23">
        <v>0</v>
      </c>
      <c r="O88" s="24" t="e">
        <f t="shared" si="13"/>
        <v>#VALUE!</v>
      </c>
      <c r="P88" s="36">
        <f t="shared" si="14"/>
        <v>0</v>
      </c>
      <c r="Q88" s="24">
        <v>0</v>
      </c>
      <c r="R88" s="24">
        <f t="shared" si="15"/>
        <v>0</v>
      </c>
      <c r="S88" s="23" t="e">
        <f t="shared" si="9"/>
        <v>#VALUE!</v>
      </c>
      <c r="T88" s="23" t="e">
        <f t="shared" si="16"/>
        <v>#VALUE!</v>
      </c>
      <c r="U88" s="23" t="e">
        <f t="shared" si="17"/>
        <v>#VALUE!</v>
      </c>
    </row>
    <row r="89" spans="1:21" x14ac:dyDescent="0.25">
      <c r="A89" s="18" t="s">
        <v>198</v>
      </c>
      <c r="B89" s="18" t="s">
        <v>199</v>
      </c>
      <c r="C89" s="18" t="s">
        <v>40</v>
      </c>
      <c r="D89" s="18" t="s">
        <v>15</v>
      </c>
      <c r="F89" s="20">
        <v>1205624648</v>
      </c>
      <c r="G89" s="20">
        <v>1476377903</v>
      </c>
      <c r="H89" s="21">
        <v>64</v>
      </c>
      <c r="I89" s="22">
        <v>1.1004620318530163</v>
      </c>
      <c r="J89" s="23">
        <f t="shared" si="10"/>
        <v>70.429570038593042</v>
      </c>
      <c r="K89" s="21">
        <v>75</v>
      </c>
      <c r="L89" s="24">
        <f t="shared" si="11"/>
        <v>369094475.75</v>
      </c>
      <c r="M89" s="36">
        <f t="shared" si="12"/>
        <v>369094475.75</v>
      </c>
      <c r="N89" s="23">
        <v>5.8613944938892791E-2</v>
      </c>
      <c r="O89" s="24">
        <f t="shared" si="13"/>
        <v>25995165230.692406</v>
      </c>
      <c r="P89" s="36">
        <f t="shared" si="14"/>
        <v>25995165230.692406</v>
      </c>
      <c r="Q89" s="24">
        <v>106120979971.95012</v>
      </c>
      <c r="R89" s="24">
        <f t="shared" si="15"/>
        <v>1591814699579.2517</v>
      </c>
      <c r="S89" s="23">
        <f t="shared" si="9"/>
        <v>1.6330522162889591E-2</v>
      </c>
      <c r="T89" s="23">
        <f t="shared" si="16"/>
        <v>5.4435073876298642E-3</v>
      </c>
      <c r="U89" s="23">
        <f t="shared" si="17"/>
        <v>4.8991566488668765E-2</v>
      </c>
    </row>
    <row r="90" spans="1:21" x14ac:dyDescent="0.25">
      <c r="A90" s="18" t="s">
        <v>200</v>
      </c>
      <c r="B90" s="18" t="s">
        <v>201</v>
      </c>
      <c r="C90" s="18" t="s">
        <v>40</v>
      </c>
      <c r="D90" s="18" t="s">
        <v>26</v>
      </c>
      <c r="F90" s="20">
        <v>240676485</v>
      </c>
      <c r="G90" s="20">
        <v>293482460</v>
      </c>
      <c r="H90" s="21">
        <v>157</v>
      </c>
      <c r="I90" s="22">
        <v>1.1004620318530163</v>
      </c>
      <c r="J90" s="23">
        <f t="shared" si="10"/>
        <v>172.77253900092356</v>
      </c>
      <c r="K90" s="21">
        <v>94.15</v>
      </c>
      <c r="L90" s="24">
        <f t="shared" si="11"/>
        <v>17168723.91</v>
      </c>
      <c r="M90" s="36">
        <f t="shared" si="12"/>
        <v>17168723.91</v>
      </c>
      <c r="N90" s="23">
        <v>0.11040303634246594</v>
      </c>
      <c r="O90" s="24">
        <f t="shared" si="13"/>
        <v>2966284021.3365641</v>
      </c>
      <c r="P90" s="36">
        <f t="shared" si="14"/>
        <v>2966284021.3365641</v>
      </c>
      <c r="Q90" s="24">
        <v>59899197819.567902</v>
      </c>
      <c r="R90" s="24">
        <f t="shared" si="15"/>
        <v>898487967293.51855</v>
      </c>
      <c r="S90" s="23">
        <f t="shared" si="9"/>
        <v>3.301417636422878E-3</v>
      </c>
      <c r="T90" s="23">
        <f t="shared" si="16"/>
        <v>1.1004725454742926E-3</v>
      </c>
      <c r="U90" s="23">
        <f t="shared" si="17"/>
        <v>9.9042529092686349E-3</v>
      </c>
    </row>
    <row r="91" spans="1:21" x14ac:dyDescent="0.25">
      <c r="A91" s="18" t="s">
        <v>202</v>
      </c>
      <c r="B91" s="18" t="s">
        <v>203</v>
      </c>
      <c r="C91" s="18" t="s">
        <v>18</v>
      </c>
      <c r="D91" s="18" t="s">
        <v>22</v>
      </c>
      <c r="E91" s="18" t="s">
        <v>54</v>
      </c>
      <c r="F91" s="20">
        <v>74462314</v>
      </c>
      <c r="G91" s="24">
        <v>91336270</v>
      </c>
      <c r="H91" s="21">
        <v>157</v>
      </c>
      <c r="I91" s="22">
        <v>1.1004620318530163</v>
      </c>
      <c r="J91" s="23">
        <f t="shared" si="10"/>
        <v>172.77253900092356</v>
      </c>
      <c r="K91" s="21">
        <v>98.4</v>
      </c>
      <c r="L91" s="24">
        <f t="shared" si="11"/>
        <v>1461380.3199999912</v>
      </c>
      <c r="M91" s="36">
        <f t="shared" si="12"/>
        <v>1461380.3199999912</v>
      </c>
      <c r="N91" s="23">
        <v>5.8613944938892791E-2</v>
      </c>
      <c r="O91" s="24">
        <f t="shared" si="13"/>
        <v>252486388.33238062</v>
      </c>
      <c r="P91" s="36">
        <f t="shared" si="14"/>
        <v>252486388.33238062</v>
      </c>
      <c r="Q91" s="24">
        <v>130357567150.05748</v>
      </c>
      <c r="R91" s="24">
        <f t="shared" si="15"/>
        <v>1955363507250.8623</v>
      </c>
      <c r="S91" s="23">
        <f t="shared" si="9"/>
        <v>1.2912503859058061E-4</v>
      </c>
      <c r="T91" s="23">
        <f t="shared" si="16"/>
        <v>4.3041679530193532E-5</v>
      </c>
      <c r="U91" s="23">
        <f t="shared" si="17"/>
        <v>3.8737511577174177E-4</v>
      </c>
    </row>
    <row r="92" spans="1:21" x14ac:dyDescent="0.25">
      <c r="A92" s="18" t="s">
        <v>204</v>
      </c>
      <c r="B92" s="18" t="s">
        <v>205</v>
      </c>
      <c r="C92" s="18" t="s">
        <v>18</v>
      </c>
      <c r="D92" s="18" t="s">
        <v>22</v>
      </c>
      <c r="E92" s="18" t="s">
        <v>54</v>
      </c>
      <c r="F92" s="20">
        <v>30962380</v>
      </c>
      <c r="G92" s="20">
        <v>50966609</v>
      </c>
      <c r="H92" s="21">
        <v>157</v>
      </c>
      <c r="I92" s="22">
        <v>1.1004620318530163</v>
      </c>
      <c r="J92" s="23">
        <f t="shared" si="10"/>
        <v>172.77253900092356</v>
      </c>
      <c r="K92" s="21">
        <v>98</v>
      </c>
      <c r="L92" s="24">
        <f t="shared" si="11"/>
        <v>1019332.1800000009</v>
      </c>
      <c r="M92" s="36">
        <f t="shared" si="12"/>
        <v>1019332.1800000009</v>
      </c>
      <c r="N92" s="23">
        <v>5.8613944938892791E-2</v>
      </c>
      <c r="O92" s="24">
        <f t="shared" si="13"/>
        <v>176112608.8239466</v>
      </c>
      <c r="P92" s="36">
        <f t="shared" si="14"/>
        <v>176112608.8239466</v>
      </c>
      <c r="Q92" s="24">
        <v>60551177603.513367</v>
      </c>
      <c r="R92" s="24">
        <f t="shared" si="15"/>
        <v>908267664052.70044</v>
      </c>
      <c r="S92" s="23">
        <f t="shared" si="9"/>
        <v>1.9389945915076418E-4</v>
      </c>
      <c r="T92" s="23">
        <f t="shared" si="16"/>
        <v>6.4633153050254723E-5</v>
      </c>
      <c r="U92" s="23">
        <f t="shared" si="17"/>
        <v>5.8169837745229258E-4</v>
      </c>
    </row>
    <row r="93" spans="1:21" x14ac:dyDescent="0.25">
      <c r="A93" s="18" t="s">
        <v>206</v>
      </c>
      <c r="B93" s="18" t="s">
        <v>207</v>
      </c>
      <c r="C93" s="18" t="s">
        <v>45</v>
      </c>
      <c r="D93" s="18" t="s">
        <v>19</v>
      </c>
      <c r="F93" s="20">
        <v>4560155</v>
      </c>
      <c r="G93" s="20">
        <v>5346841</v>
      </c>
      <c r="H93" s="20" t="s">
        <v>232</v>
      </c>
      <c r="I93" s="22">
        <v>1.1004620318530163</v>
      </c>
      <c r="J93" s="23" t="e">
        <f t="shared" si="10"/>
        <v>#VALUE!</v>
      </c>
      <c r="K93" s="21">
        <v>100</v>
      </c>
      <c r="L93" s="24">
        <f t="shared" si="11"/>
        <v>0</v>
      </c>
      <c r="M93" s="36">
        <f t="shared" si="12"/>
        <v>0</v>
      </c>
      <c r="N93" s="23">
        <v>0</v>
      </c>
      <c r="O93" s="24" t="e">
        <f t="shared" si="13"/>
        <v>#VALUE!</v>
      </c>
      <c r="P93" s="36">
        <f t="shared" si="14"/>
        <v>0</v>
      </c>
      <c r="Q93" s="24">
        <v>414476099.13160717</v>
      </c>
      <c r="R93" s="24">
        <f t="shared" si="15"/>
        <v>6217141486.9741077</v>
      </c>
      <c r="S93" s="23" t="e">
        <f t="shared" si="9"/>
        <v>#VALUE!</v>
      </c>
      <c r="T93" s="23" t="e">
        <f t="shared" si="16"/>
        <v>#VALUE!</v>
      </c>
      <c r="U93" s="23" t="e">
        <f t="shared" si="17"/>
        <v>#VALUE!</v>
      </c>
    </row>
    <row r="94" spans="1:21" x14ac:dyDescent="0.25">
      <c r="A94" s="18" t="s">
        <v>208</v>
      </c>
      <c r="B94" s="18" t="s">
        <v>209</v>
      </c>
      <c r="C94" s="18" t="s">
        <v>29</v>
      </c>
      <c r="D94" s="18" t="s">
        <v>19</v>
      </c>
      <c r="F94" s="20">
        <v>83992</v>
      </c>
      <c r="G94" s="20">
        <v>94237</v>
      </c>
      <c r="H94" s="20" t="s">
        <v>232</v>
      </c>
      <c r="I94" s="22">
        <v>1.1004620318530163</v>
      </c>
      <c r="J94" s="23" t="e">
        <f t="shared" si="10"/>
        <v>#VALUE!</v>
      </c>
      <c r="K94" s="21">
        <v>100</v>
      </c>
      <c r="L94" s="24">
        <f t="shared" si="11"/>
        <v>0</v>
      </c>
      <c r="M94" s="36">
        <f t="shared" si="12"/>
        <v>0</v>
      </c>
      <c r="N94" s="23">
        <v>0</v>
      </c>
      <c r="O94" s="24" t="e">
        <f t="shared" si="13"/>
        <v>#VALUE!</v>
      </c>
      <c r="P94" s="36">
        <f t="shared" si="14"/>
        <v>0</v>
      </c>
      <c r="Q94" s="24" t="s">
        <v>232</v>
      </c>
      <c r="R94" s="24" t="e">
        <f t="shared" si="15"/>
        <v>#VALUE!</v>
      </c>
      <c r="S94" s="23" t="e">
        <f t="shared" si="9"/>
        <v>#VALUE!</v>
      </c>
      <c r="T94" s="23" t="e">
        <f t="shared" si="16"/>
        <v>#VALUE!</v>
      </c>
      <c r="U94" s="23" t="e">
        <f t="shared" si="17"/>
        <v>#VALUE!</v>
      </c>
    </row>
    <row r="95" spans="1:21" x14ac:dyDescent="0.25">
      <c r="A95" s="18" t="s">
        <v>210</v>
      </c>
      <c r="B95" s="18" t="s">
        <v>211</v>
      </c>
      <c r="C95" s="18" t="s">
        <v>45</v>
      </c>
      <c r="D95" s="18" t="s">
        <v>22</v>
      </c>
      <c r="E95" s="18" t="s">
        <v>54</v>
      </c>
      <c r="F95" s="20">
        <v>7623600</v>
      </c>
      <c r="G95" s="20">
        <v>9632030</v>
      </c>
      <c r="H95" s="21">
        <v>157</v>
      </c>
      <c r="I95" s="22">
        <v>1.1004620318530163</v>
      </c>
      <c r="J95" s="23">
        <f t="shared" si="10"/>
        <v>172.77253900092356</v>
      </c>
      <c r="K95" s="21">
        <v>100</v>
      </c>
      <c r="L95" s="24">
        <f t="shared" si="11"/>
        <v>0</v>
      </c>
      <c r="M95" s="36">
        <f t="shared" si="12"/>
        <v>0</v>
      </c>
      <c r="N95" s="23">
        <v>5.8613944938892791E-2</v>
      </c>
      <c r="O95" s="24">
        <f t="shared" si="13"/>
        <v>0</v>
      </c>
      <c r="P95" s="36">
        <f t="shared" si="14"/>
        <v>0</v>
      </c>
      <c r="Q95" s="24">
        <v>683998780.19966102</v>
      </c>
      <c r="R95" s="24">
        <f t="shared" si="15"/>
        <v>10259981702.994915</v>
      </c>
      <c r="S95" s="23">
        <f t="shared" si="9"/>
        <v>0</v>
      </c>
      <c r="T95" s="23">
        <f t="shared" si="16"/>
        <v>0</v>
      </c>
      <c r="U95" s="23">
        <f t="shared" si="17"/>
        <v>0</v>
      </c>
    </row>
    <row r="96" spans="1:21" x14ac:dyDescent="0.25">
      <c r="A96" s="18" t="s">
        <v>212</v>
      </c>
      <c r="B96" s="18" t="s">
        <v>213</v>
      </c>
      <c r="C96" s="18" t="s">
        <v>45</v>
      </c>
      <c r="D96" s="18" t="s">
        <v>19</v>
      </c>
      <c r="F96" s="20">
        <v>60483385</v>
      </c>
      <c r="G96" s="20">
        <v>61211831</v>
      </c>
      <c r="H96" s="20" t="s">
        <v>232</v>
      </c>
      <c r="I96" s="22">
        <v>1.1004620318530163</v>
      </c>
      <c r="J96" s="23" t="e">
        <f t="shared" si="10"/>
        <v>#VALUE!</v>
      </c>
      <c r="K96" s="21">
        <v>100</v>
      </c>
      <c r="L96" s="24">
        <f t="shared" si="11"/>
        <v>0</v>
      </c>
      <c r="M96" s="36">
        <f t="shared" si="12"/>
        <v>0</v>
      </c>
      <c r="N96" s="23">
        <v>0</v>
      </c>
      <c r="O96" s="24" t="e">
        <f t="shared" si="13"/>
        <v>#VALUE!</v>
      </c>
      <c r="P96" s="36">
        <f t="shared" si="14"/>
        <v>0</v>
      </c>
      <c r="Q96" s="24">
        <v>3978955289.0601716</v>
      </c>
      <c r="R96" s="24">
        <f t="shared" si="15"/>
        <v>59684329335.902573</v>
      </c>
      <c r="S96" s="23" t="e">
        <f t="shared" si="9"/>
        <v>#VALUE!</v>
      </c>
      <c r="T96" s="23" t="e">
        <f t="shared" si="16"/>
        <v>#VALUE!</v>
      </c>
      <c r="U96" s="23" t="e">
        <f t="shared" si="17"/>
        <v>#VALUE!</v>
      </c>
    </row>
    <row r="97" spans="1:21" x14ac:dyDescent="0.25">
      <c r="A97" s="18" t="s">
        <v>214</v>
      </c>
      <c r="B97" s="18" t="s">
        <v>215</v>
      </c>
      <c r="C97" s="18" t="s">
        <v>18</v>
      </c>
      <c r="D97" s="18" t="s">
        <v>35</v>
      </c>
      <c r="E97" s="18"/>
      <c r="F97" s="20">
        <v>2690824</v>
      </c>
      <c r="G97" s="20">
        <v>2949838</v>
      </c>
      <c r="H97" s="21">
        <v>326.89002158513563</v>
      </c>
      <c r="I97" s="22">
        <v>1.1004620318530163</v>
      </c>
      <c r="J97" s="23">
        <f t="shared" si="10"/>
        <v>359.73005734605471</v>
      </c>
      <c r="K97" s="21">
        <v>92</v>
      </c>
      <c r="L97" s="24">
        <f t="shared" si="11"/>
        <v>235987.03999999989</v>
      </c>
      <c r="M97" s="36">
        <f t="shared" si="12"/>
        <v>235987.03999999989</v>
      </c>
      <c r="N97" s="23">
        <v>2.7075295212977562E-2</v>
      </c>
      <c r="O97" s="24">
        <f t="shared" si="13"/>
        <v>84891631.432125673</v>
      </c>
      <c r="P97" s="36">
        <f t="shared" si="14"/>
        <v>84891631.432125673</v>
      </c>
      <c r="Q97" s="24">
        <v>244066186.95842627</v>
      </c>
      <c r="R97" s="24">
        <f t="shared" si="15"/>
        <v>3660992804.3763938</v>
      </c>
      <c r="S97" s="23">
        <f t="shared" si="9"/>
        <v>2.3188144847115028E-2</v>
      </c>
      <c r="T97" s="23">
        <f t="shared" si="16"/>
        <v>7.72938161570501E-3</v>
      </c>
      <c r="U97" s="23">
        <f t="shared" si="17"/>
        <v>6.9564434541345074E-2</v>
      </c>
    </row>
    <row r="98" spans="1:21" x14ac:dyDescent="0.25">
      <c r="A98" s="18" t="s">
        <v>216</v>
      </c>
      <c r="B98" s="18" t="s">
        <v>217</v>
      </c>
      <c r="C98" s="18" t="s">
        <v>45</v>
      </c>
      <c r="D98" s="18" t="s">
        <v>26</v>
      </c>
      <c r="F98" s="20">
        <v>127450459</v>
      </c>
      <c r="G98" s="20">
        <v>120624738</v>
      </c>
      <c r="H98" s="21">
        <v>157</v>
      </c>
      <c r="I98" s="22">
        <v>1.1004620318530163</v>
      </c>
      <c r="J98" s="23">
        <f t="shared" si="10"/>
        <v>172.77253900092356</v>
      </c>
      <c r="K98" s="21">
        <v>100</v>
      </c>
      <c r="L98" s="24">
        <f t="shared" si="11"/>
        <v>0</v>
      </c>
      <c r="M98" s="36">
        <f t="shared" si="12"/>
        <v>0</v>
      </c>
      <c r="N98" s="23">
        <v>0.11040303634246594</v>
      </c>
      <c r="O98" s="24">
        <f t="shared" si="13"/>
        <v>0</v>
      </c>
      <c r="P98" s="36">
        <f t="shared" si="14"/>
        <v>0</v>
      </c>
      <c r="Q98" s="24">
        <v>1629780081.2566016</v>
      </c>
      <c r="R98" s="24">
        <f t="shared" si="15"/>
        <v>24446701218.849022</v>
      </c>
      <c r="S98" s="23">
        <f t="shared" si="9"/>
        <v>0</v>
      </c>
      <c r="T98" s="23">
        <f t="shared" si="16"/>
        <v>0</v>
      </c>
      <c r="U98" s="23">
        <f t="shared" si="17"/>
        <v>0</v>
      </c>
    </row>
    <row r="99" spans="1:21" x14ac:dyDescent="0.25">
      <c r="A99" s="18" t="s">
        <v>218</v>
      </c>
      <c r="B99" s="18" t="s">
        <v>219</v>
      </c>
      <c r="C99" s="18" t="s">
        <v>18</v>
      </c>
      <c r="D99" s="18" t="s">
        <v>22</v>
      </c>
      <c r="E99" s="18" t="s">
        <v>54</v>
      </c>
      <c r="F99" s="20">
        <v>6046000</v>
      </c>
      <c r="G99" s="20">
        <v>9355173</v>
      </c>
      <c r="H99" s="21">
        <v>157</v>
      </c>
      <c r="I99" s="22">
        <v>1.1004620318530163</v>
      </c>
      <c r="J99" s="23">
        <f t="shared" si="10"/>
        <v>172.77253900092356</v>
      </c>
      <c r="K99" s="21">
        <v>99.4</v>
      </c>
      <c r="L99" s="24">
        <f t="shared" si="11"/>
        <v>56131.037999999011</v>
      </c>
      <c r="M99" s="36">
        <f t="shared" si="12"/>
        <v>56131.037999999011</v>
      </c>
      <c r="N99" s="23">
        <v>5.8613944938892791E-2</v>
      </c>
      <c r="O99" s="24">
        <f t="shared" si="13"/>
        <v>9697901.9520171508</v>
      </c>
      <c r="P99" s="36">
        <f t="shared" si="14"/>
        <v>9697901.9520171508</v>
      </c>
      <c r="Q99" s="24">
        <v>479904568.92910677</v>
      </c>
      <c r="R99" s="24">
        <f t="shared" si="15"/>
        <v>7198568533.9366016</v>
      </c>
      <c r="S99" s="23">
        <f t="shared" si="9"/>
        <v>1.347198669610188E-3</v>
      </c>
      <c r="T99" s="23">
        <f t="shared" si="16"/>
        <v>4.4906622320339595E-4</v>
      </c>
      <c r="U99" s="23">
        <f t="shared" si="17"/>
        <v>4.0415960088305636E-3</v>
      </c>
    </row>
    <row r="100" spans="1:21" x14ac:dyDescent="0.25">
      <c r="A100" s="18" t="s">
        <v>220</v>
      </c>
      <c r="B100" s="18" t="s">
        <v>221</v>
      </c>
      <c r="C100" s="18" t="s">
        <v>18</v>
      </c>
      <c r="D100" s="18" t="s">
        <v>19</v>
      </c>
      <c r="E100" s="18"/>
      <c r="F100" s="20">
        <v>16321581</v>
      </c>
      <c r="G100" s="20">
        <v>18572745</v>
      </c>
      <c r="H100" s="20" t="s">
        <v>232</v>
      </c>
      <c r="I100" s="22">
        <v>1.1004620318530163</v>
      </c>
      <c r="J100" s="23" t="e">
        <f t="shared" si="10"/>
        <v>#VALUE!</v>
      </c>
      <c r="K100" s="21">
        <v>100</v>
      </c>
      <c r="L100" s="24">
        <f t="shared" si="11"/>
        <v>0</v>
      </c>
      <c r="M100" s="36">
        <f t="shared" si="12"/>
        <v>0</v>
      </c>
      <c r="N100" s="23">
        <v>0</v>
      </c>
      <c r="O100" s="24" t="e">
        <f t="shared" si="13"/>
        <v>#VALUE!</v>
      </c>
      <c r="P100" s="36">
        <f t="shared" si="14"/>
        <v>0</v>
      </c>
      <c r="Q100" s="24">
        <v>52080674870.849876</v>
      </c>
      <c r="R100" s="24">
        <f t="shared" si="15"/>
        <v>781210123062.74817</v>
      </c>
      <c r="S100" s="23" t="e">
        <f t="shared" si="9"/>
        <v>#VALUE!</v>
      </c>
      <c r="T100" s="23" t="e">
        <f t="shared" si="16"/>
        <v>#VALUE!</v>
      </c>
      <c r="U100" s="23" t="e">
        <f t="shared" si="17"/>
        <v>#VALUE!</v>
      </c>
    </row>
    <row r="101" spans="1:21" x14ac:dyDescent="0.25">
      <c r="A101" s="18" t="s">
        <v>222</v>
      </c>
      <c r="B101" s="18" t="s">
        <v>223</v>
      </c>
      <c r="C101" s="18" t="s">
        <v>14</v>
      </c>
      <c r="D101" s="18" t="s">
        <v>32</v>
      </c>
      <c r="F101" s="20">
        <v>40909194</v>
      </c>
      <c r="G101" s="20">
        <v>66306062.999999993</v>
      </c>
      <c r="H101" s="21">
        <v>326.89002158513563</v>
      </c>
      <c r="I101" s="22">
        <v>1.1004620318530163</v>
      </c>
      <c r="J101" s="23">
        <f t="shared" si="10"/>
        <v>359.73005734605471</v>
      </c>
      <c r="K101" s="21">
        <v>23</v>
      </c>
      <c r="L101" s="24">
        <f t="shared" si="11"/>
        <v>51055668.509999998</v>
      </c>
      <c r="M101" s="36">
        <f t="shared" si="12"/>
        <v>51055668.509999998</v>
      </c>
      <c r="N101" s="23">
        <v>2.7075295212977562E-2</v>
      </c>
      <c r="O101" s="24">
        <f t="shared" si="13"/>
        <v>18366258560.943459</v>
      </c>
      <c r="P101" s="36">
        <f t="shared" si="14"/>
        <v>18366258560.943459</v>
      </c>
      <c r="Q101" s="24">
        <v>1419333043.2990847</v>
      </c>
      <c r="R101" s="24">
        <f t="shared" si="15"/>
        <v>21289995649.486271</v>
      </c>
      <c r="S101" s="23">
        <f t="shared" si="9"/>
        <v>0.86267084612516765</v>
      </c>
      <c r="T101" s="23">
        <f t="shared" si="16"/>
        <v>0.28755694870838916</v>
      </c>
      <c r="U101" s="23">
        <f t="shared" si="17"/>
        <v>2.5880125383755028</v>
      </c>
    </row>
    <row r="102" spans="1:21" x14ac:dyDescent="0.25">
      <c r="A102" s="18" t="s">
        <v>224</v>
      </c>
      <c r="B102" s="18" t="s">
        <v>225</v>
      </c>
      <c r="C102" s="18" t="s">
        <v>40</v>
      </c>
      <c r="D102" s="18" t="s">
        <v>26</v>
      </c>
      <c r="F102" s="20">
        <v>97743</v>
      </c>
      <c r="G102" s="20">
        <v>130715</v>
      </c>
      <c r="H102" s="21">
        <v>157</v>
      </c>
      <c r="I102" s="22">
        <v>1.1004620318530163</v>
      </c>
      <c r="J102" s="23">
        <f t="shared" si="10"/>
        <v>172.77253900092356</v>
      </c>
      <c r="K102" s="21">
        <v>55.766350000000003</v>
      </c>
      <c r="L102" s="24">
        <f t="shared" si="11"/>
        <v>57820.015597500002</v>
      </c>
      <c r="M102" s="36">
        <f t="shared" si="12"/>
        <v>57820.015597500002</v>
      </c>
      <c r="N102" s="23">
        <v>0.11040303634246594</v>
      </c>
      <c r="O102" s="24">
        <f t="shared" si="13"/>
        <v>9989710.8998530768</v>
      </c>
      <c r="P102" s="36">
        <f t="shared" si="14"/>
        <v>9989710.8998530768</v>
      </c>
      <c r="Q102" s="24">
        <v>147463.39816805688</v>
      </c>
      <c r="R102" s="24">
        <f t="shared" si="15"/>
        <v>2211950.9725208534</v>
      </c>
      <c r="S102" s="23">
        <f t="shared" si="9"/>
        <v>4.5162442675970738</v>
      </c>
      <c r="T102" s="23">
        <f t="shared" si="16"/>
        <v>1.5054147558656912</v>
      </c>
      <c r="U102" s="23">
        <f t="shared" si="17"/>
        <v>13.548732802791221</v>
      </c>
    </row>
    <row r="103" spans="1:21" x14ac:dyDescent="0.25">
      <c r="A103" s="18" t="s">
        <v>226</v>
      </c>
      <c r="B103" s="18" t="s">
        <v>227</v>
      </c>
      <c r="C103" s="18" t="s">
        <v>14</v>
      </c>
      <c r="D103" s="18" t="s">
        <v>26</v>
      </c>
      <c r="F103" s="20">
        <v>24500520</v>
      </c>
      <c r="G103" s="24">
        <v>26718625</v>
      </c>
      <c r="H103" s="21">
        <v>157</v>
      </c>
      <c r="I103" s="22">
        <v>1.1004620318530163</v>
      </c>
      <c r="J103" s="23">
        <f t="shared" si="10"/>
        <v>172.77253900092356</v>
      </c>
      <c r="K103" s="21">
        <v>26</v>
      </c>
      <c r="L103" s="24">
        <f t="shared" si="11"/>
        <v>19771782.5</v>
      </c>
      <c r="M103" s="36">
        <f t="shared" si="12"/>
        <v>19771782.5</v>
      </c>
      <c r="N103" s="23">
        <v>0.11040303634246594</v>
      </c>
      <c r="O103" s="24">
        <f t="shared" si="13"/>
        <v>3416021063.0990281</v>
      </c>
      <c r="P103" s="36">
        <f t="shared" si="14"/>
        <v>3416021063.0990281</v>
      </c>
      <c r="Q103" s="24" t="s">
        <v>232</v>
      </c>
      <c r="R103" s="24" t="e">
        <f t="shared" si="15"/>
        <v>#VALUE!</v>
      </c>
      <c r="S103" s="23" t="e">
        <f t="shared" si="9"/>
        <v>#VALUE!</v>
      </c>
      <c r="T103" s="23" t="e">
        <f t="shared" si="16"/>
        <v>#VALUE!</v>
      </c>
      <c r="U103" s="23" t="e">
        <f t="shared" si="17"/>
        <v>#VALUE!</v>
      </c>
    </row>
    <row r="104" spans="1:21" x14ac:dyDescent="0.25">
      <c r="A104" s="18" t="s">
        <v>228</v>
      </c>
      <c r="B104" s="18" t="s">
        <v>229</v>
      </c>
      <c r="C104" s="18" t="s">
        <v>45</v>
      </c>
      <c r="D104" s="18" t="s">
        <v>26</v>
      </c>
      <c r="F104" s="20">
        <v>49410366</v>
      </c>
      <c r="G104" s="24">
        <v>52190069</v>
      </c>
      <c r="H104" s="21">
        <v>157</v>
      </c>
      <c r="I104" s="22">
        <v>1.1004620318530163</v>
      </c>
      <c r="J104" s="23">
        <f t="shared" si="10"/>
        <v>172.77253900092356</v>
      </c>
      <c r="K104" s="21">
        <v>93.342330000000004</v>
      </c>
      <c r="L104" s="24">
        <f t="shared" si="11"/>
        <v>3474642.5667922967</v>
      </c>
      <c r="M104" s="36">
        <f t="shared" si="12"/>
        <v>3474642.5667922967</v>
      </c>
      <c r="N104" s="23">
        <v>0.11040303634246594</v>
      </c>
      <c r="O104" s="24">
        <f t="shared" si="13"/>
        <v>600322818.38539124</v>
      </c>
      <c r="P104" s="36">
        <f t="shared" si="14"/>
        <v>600322818.38539124</v>
      </c>
      <c r="Q104" s="24">
        <v>614733047.31301725</v>
      </c>
      <c r="R104" s="24">
        <f t="shared" si="15"/>
        <v>9220995709.6952591</v>
      </c>
      <c r="S104" s="23">
        <f t="shared" si="9"/>
        <v>6.5103903882548386E-2</v>
      </c>
      <c r="T104" s="23">
        <f t="shared" si="16"/>
        <v>2.1701301294182795E-2</v>
      </c>
      <c r="U104" s="23">
        <f t="shared" si="17"/>
        <v>0.19531171164764519</v>
      </c>
    </row>
    <row r="105" spans="1:21" x14ac:dyDescent="0.25">
      <c r="A105" s="18" t="s">
        <v>230</v>
      </c>
      <c r="B105" s="18" t="s">
        <v>231</v>
      </c>
      <c r="C105" s="18" t="s">
        <v>40</v>
      </c>
      <c r="D105" s="18" t="s">
        <v>19</v>
      </c>
      <c r="F105" s="20">
        <v>1775680</v>
      </c>
      <c r="G105" s="20" t="s">
        <v>232</v>
      </c>
      <c r="H105" s="20" t="s">
        <v>232</v>
      </c>
      <c r="I105" s="22">
        <v>1.1004620318530163</v>
      </c>
      <c r="J105" s="23" t="e">
        <f t="shared" si="10"/>
        <v>#VALUE!</v>
      </c>
      <c r="K105" s="21">
        <v>100</v>
      </c>
      <c r="L105" s="24" t="e">
        <f t="shared" si="11"/>
        <v>#VALUE!</v>
      </c>
      <c r="M105" s="36">
        <f t="shared" si="12"/>
        <v>0</v>
      </c>
      <c r="N105" s="23">
        <v>0</v>
      </c>
      <c r="O105" s="24" t="e">
        <f t="shared" si="13"/>
        <v>#VALUE!</v>
      </c>
      <c r="P105" s="36">
        <f t="shared" si="14"/>
        <v>0</v>
      </c>
      <c r="Q105" s="24">
        <v>177423641.54793903</v>
      </c>
      <c r="R105" s="24">
        <f t="shared" si="15"/>
        <v>2661354623.2190857</v>
      </c>
      <c r="S105" s="23" t="e">
        <f t="shared" si="9"/>
        <v>#VALUE!</v>
      </c>
      <c r="T105" s="23" t="e">
        <f t="shared" si="16"/>
        <v>#VALUE!</v>
      </c>
      <c r="U105" s="23" t="e">
        <f t="shared" si="17"/>
        <v>#VALUE!</v>
      </c>
    </row>
    <row r="106" spans="1:21" x14ac:dyDescent="0.25">
      <c r="A106" s="18" t="s">
        <v>233</v>
      </c>
      <c r="B106" s="18" t="s">
        <v>234</v>
      </c>
      <c r="C106" s="18" t="s">
        <v>29</v>
      </c>
      <c r="D106" s="18" t="s">
        <v>22</v>
      </c>
      <c r="E106" s="18" t="s">
        <v>54</v>
      </c>
      <c r="F106" s="20">
        <v>2991580</v>
      </c>
      <c r="G106" s="20">
        <v>4832793</v>
      </c>
      <c r="H106" s="21">
        <v>157</v>
      </c>
      <c r="I106" s="22">
        <v>1.1004620318530163</v>
      </c>
      <c r="J106" s="23">
        <f t="shared" si="10"/>
        <v>172.77253900092356</v>
      </c>
      <c r="K106" s="21">
        <v>94.135270000000006</v>
      </c>
      <c r="L106" s="24">
        <f t="shared" si="11"/>
        <v>283430.26090889977</v>
      </c>
      <c r="M106" s="36">
        <f t="shared" si="12"/>
        <v>283430.26090889977</v>
      </c>
      <c r="N106" s="23">
        <v>5.8613944938892791E-2</v>
      </c>
      <c r="O106" s="24">
        <f t="shared" si="13"/>
        <v>48968965.806924827</v>
      </c>
      <c r="P106" s="36">
        <f t="shared" si="14"/>
        <v>48968965.806924827</v>
      </c>
      <c r="Q106" s="24">
        <v>62059401760.996567</v>
      </c>
      <c r="R106" s="24">
        <f t="shared" si="15"/>
        <v>930891026414.94849</v>
      </c>
      <c r="S106" s="23">
        <f t="shared" si="9"/>
        <v>5.2604402037813509E-5</v>
      </c>
      <c r="T106" s="23">
        <f t="shared" si="16"/>
        <v>1.7534800679271167E-5</v>
      </c>
      <c r="U106" s="23">
        <f t="shared" si="17"/>
        <v>1.5781320611344055E-4</v>
      </c>
    </row>
    <row r="107" spans="1:21" x14ac:dyDescent="0.25">
      <c r="A107" s="18" t="s">
        <v>235</v>
      </c>
      <c r="B107" s="18" t="s">
        <v>236</v>
      </c>
      <c r="C107" s="18" t="s">
        <v>14</v>
      </c>
      <c r="D107" s="18" t="s">
        <v>19</v>
      </c>
      <c r="E107" s="18"/>
      <c r="F107" s="20">
        <v>5447900</v>
      </c>
      <c r="G107" s="24">
        <v>6871058</v>
      </c>
      <c r="H107" s="20" t="s">
        <v>232</v>
      </c>
      <c r="I107" s="22">
        <v>1.1004620318530163</v>
      </c>
      <c r="J107" s="23" t="e">
        <f t="shared" si="10"/>
        <v>#VALUE!</v>
      </c>
      <c r="K107" s="21">
        <v>100</v>
      </c>
      <c r="L107" s="24">
        <f t="shared" si="11"/>
        <v>0</v>
      </c>
      <c r="M107" s="36">
        <f t="shared" si="12"/>
        <v>0</v>
      </c>
      <c r="N107" s="23">
        <v>0</v>
      </c>
      <c r="O107" s="24" t="e">
        <f t="shared" si="13"/>
        <v>#VALUE!</v>
      </c>
      <c r="P107" s="36">
        <f t="shared" si="14"/>
        <v>0</v>
      </c>
      <c r="Q107" s="24">
        <v>577303538.49183607</v>
      </c>
      <c r="R107" s="24">
        <f t="shared" si="15"/>
        <v>8659553077.3775406</v>
      </c>
      <c r="S107" s="23" t="e">
        <f t="shared" si="9"/>
        <v>#VALUE!</v>
      </c>
      <c r="T107" s="23" t="e">
        <f t="shared" si="16"/>
        <v>#VALUE!</v>
      </c>
      <c r="U107" s="23" t="e">
        <f t="shared" si="17"/>
        <v>#VALUE!</v>
      </c>
    </row>
    <row r="108" spans="1:21" x14ac:dyDescent="0.25">
      <c r="A108" s="18" t="s">
        <v>237</v>
      </c>
      <c r="B108" s="18" t="s">
        <v>238</v>
      </c>
      <c r="C108" s="18" t="s">
        <v>40</v>
      </c>
      <c r="D108" s="18" t="s">
        <v>26</v>
      </c>
      <c r="F108" s="20">
        <v>6395713</v>
      </c>
      <c r="G108" s="24">
        <v>8806260</v>
      </c>
      <c r="H108" s="21">
        <v>157</v>
      </c>
      <c r="I108" s="22">
        <v>1.1004620318530163</v>
      </c>
      <c r="J108" s="23">
        <f t="shared" si="10"/>
        <v>172.77253900092356</v>
      </c>
      <c r="K108" s="21">
        <v>66</v>
      </c>
      <c r="L108" s="24">
        <f t="shared" si="11"/>
        <v>2994128.4</v>
      </c>
      <c r="M108" s="36">
        <f t="shared" si="12"/>
        <v>2994128.4</v>
      </c>
      <c r="N108" s="23">
        <v>0.11040303634246594</v>
      </c>
      <c r="O108" s="24">
        <f t="shared" si="13"/>
        <v>517303165.76277286</v>
      </c>
      <c r="P108" s="36">
        <f t="shared" si="14"/>
        <v>517303165.76277286</v>
      </c>
      <c r="Q108" s="24">
        <v>1331952550.8132415</v>
      </c>
      <c r="R108" s="24">
        <f t="shared" si="15"/>
        <v>19979288262.198624</v>
      </c>
      <c r="S108" s="23">
        <f t="shared" si="9"/>
        <v>2.5891971674562853E-2</v>
      </c>
      <c r="T108" s="23">
        <f t="shared" si="16"/>
        <v>8.6306572248542844E-3</v>
      </c>
      <c r="U108" s="23">
        <f t="shared" si="17"/>
        <v>7.7675915023688563E-2</v>
      </c>
    </row>
    <row r="109" spans="1:21" x14ac:dyDescent="0.25">
      <c r="A109" s="18" t="s">
        <v>239</v>
      </c>
      <c r="B109" s="18" t="s">
        <v>240</v>
      </c>
      <c r="C109" s="18" t="s">
        <v>29</v>
      </c>
      <c r="D109" s="18" t="s">
        <v>19</v>
      </c>
      <c r="F109" s="20">
        <v>2097555</v>
      </c>
      <c r="G109" s="20">
        <v>1855822</v>
      </c>
      <c r="H109" s="20" t="s">
        <v>232</v>
      </c>
      <c r="I109" s="22">
        <v>1.1004620318530163</v>
      </c>
      <c r="J109" s="23" t="e">
        <f t="shared" si="10"/>
        <v>#VALUE!</v>
      </c>
      <c r="K109" s="21">
        <v>100</v>
      </c>
      <c r="L109" s="24">
        <f t="shared" si="11"/>
        <v>0</v>
      </c>
      <c r="M109" s="36">
        <f t="shared" si="12"/>
        <v>0</v>
      </c>
      <c r="N109" s="23">
        <v>0</v>
      </c>
      <c r="O109" s="24" t="e">
        <f t="shared" si="13"/>
        <v>#VALUE!</v>
      </c>
      <c r="P109" s="36">
        <f t="shared" si="14"/>
        <v>0</v>
      </c>
      <c r="Q109" s="24">
        <v>581674804.62426615</v>
      </c>
      <c r="R109" s="24">
        <f t="shared" si="15"/>
        <v>8725122069.3639927</v>
      </c>
      <c r="S109" s="23" t="e">
        <f t="shared" si="9"/>
        <v>#VALUE!</v>
      </c>
      <c r="T109" s="23" t="e">
        <f t="shared" si="16"/>
        <v>#VALUE!</v>
      </c>
      <c r="U109" s="23" t="e">
        <f t="shared" si="17"/>
        <v>#VALUE!</v>
      </c>
    </row>
    <row r="110" spans="1:21" x14ac:dyDescent="0.25">
      <c r="A110" s="18" t="s">
        <v>241</v>
      </c>
      <c r="B110" s="18" t="s">
        <v>242</v>
      </c>
      <c r="C110" s="18" t="s">
        <v>18</v>
      </c>
      <c r="D110" s="18" t="s">
        <v>22</v>
      </c>
      <c r="E110" s="18" t="s">
        <v>54</v>
      </c>
      <c r="F110" s="20">
        <v>4341092</v>
      </c>
      <c r="G110" s="20">
        <v>5171981</v>
      </c>
      <c r="H110" s="21">
        <v>157</v>
      </c>
      <c r="I110" s="22">
        <v>1.1004620318530163</v>
      </c>
      <c r="J110" s="23">
        <f t="shared" si="10"/>
        <v>172.77253900092356</v>
      </c>
      <c r="K110" s="21">
        <v>99.9</v>
      </c>
      <c r="L110" s="24">
        <f t="shared" si="11"/>
        <v>5171.9809999994304</v>
      </c>
      <c r="M110" s="36">
        <f t="shared" si="12"/>
        <v>5171.9809999994304</v>
      </c>
      <c r="N110" s="23">
        <v>5.8613944938892791E-2</v>
      </c>
      <c r="O110" s="24">
        <f t="shared" si="13"/>
        <v>893576.28903443727</v>
      </c>
      <c r="P110" s="36">
        <f t="shared" si="14"/>
        <v>893576.28903443727</v>
      </c>
      <c r="Q110" s="24">
        <v>1265644.42328598</v>
      </c>
      <c r="R110" s="24">
        <f t="shared" si="15"/>
        <v>18984666.3492897</v>
      </c>
      <c r="S110" s="23">
        <f t="shared" si="9"/>
        <v>4.7068316745417539E-2</v>
      </c>
      <c r="T110" s="23">
        <f t="shared" si="16"/>
        <v>1.568943891513918E-2</v>
      </c>
      <c r="U110" s="23">
        <f t="shared" si="17"/>
        <v>0.14120495023625262</v>
      </c>
    </row>
    <row r="111" spans="1:21" x14ac:dyDescent="0.25">
      <c r="A111" s="18" t="s">
        <v>243</v>
      </c>
      <c r="B111" s="18" t="s">
        <v>244</v>
      </c>
      <c r="C111" s="18" t="s">
        <v>40</v>
      </c>
      <c r="D111" s="18" t="s">
        <v>32</v>
      </c>
      <c r="F111" s="20">
        <v>2008921</v>
      </c>
      <c r="G111" s="20">
        <v>2419217</v>
      </c>
      <c r="H111" s="21">
        <v>326.89002158513563</v>
      </c>
      <c r="I111" s="22">
        <v>1.1004620318530163</v>
      </c>
      <c r="J111" s="23">
        <f t="shared" si="10"/>
        <v>359.73005734605471</v>
      </c>
      <c r="K111" s="21">
        <v>17</v>
      </c>
      <c r="L111" s="24">
        <f t="shared" si="11"/>
        <v>2007950.1099999999</v>
      </c>
      <c r="M111" s="36">
        <f t="shared" si="12"/>
        <v>2007950.1099999999</v>
      </c>
      <c r="N111" s="23">
        <v>2.7075295212977562E-2</v>
      </c>
      <c r="O111" s="24">
        <f t="shared" si="13"/>
        <v>722320008.21831679</v>
      </c>
      <c r="P111" s="36">
        <f t="shared" si="14"/>
        <v>722320008.21831679</v>
      </c>
      <c r="Q111" s="24">
        <v>103261507.33429362</v>
      </c>
      <c r="R111" s="24">
        <f t="shared" si="15"/>
        <v>1548922610.0144043</v>
      </c>
      <c r="S111" s="23">
        <f t="shared" si="9"/>
        <v>0.46633705489753263</v>
      </c>
      <c r="T111" s="23">
        <f t="shared" si="16"/>
        <v>0.15544568496584421</v>
      </c>
      <c r="U111" s="23">
        <f t="shared" si="17"/>
        <v>1.3990111646925978</v>
      </c>
    </row>
    <row r="112" spans="1:21" x14ac:dyDescent="0.25">
      <c r="A112" s="18" t="s">
        <v>245</v>
      </c>
      <c r="B112" s="18" t="s">
        <v>246</v>
      </c>
      <c r="C112" s="18" t="s">
        <v>14</v>
      </c>
      <c r="D112" s="18" t="s">
        <v>32</v>
      </c>
      <c r="F112" s="20">
        <v>3957990</v>
      </c>
      <c r="G112" s="20">
        <v>6395182</v>
      </c>
      <c r="H112" s="21">
        <v>326.89002158513563</v>
      </c>
      <c r="I112" s="22">
        <v>1.1004620318530163</v>
      </c>
      <c r="J112" s="23">
        <f t="shared" si="10"/>
        <v>359.73005734605471</v>
      </c>
      <c r="K112" s="21">
        <v>4.0999999999999996</v>
      </c>
      <c r="L112" s="24">
        <f t="shared" si="11"/>
        <v>6132979.5379999997</v>
      </c>
      <c r="M112" s="36">
        <f t="shared" si="12"/>
        <v>6132979.5379999997</v>
      </c>
      <c r="N112" s="23">
        <v>2.7075295212977562E-2</v>
      </c>
      <c r="O112" s="24">
        <f t="shared" si="13"/>
        <v>2206217080.90692</v>
      </c>
      <c r="P112" s="36">
        <f t="shared" si="14"/>
        <v>2206217080.90692</v>
      </c>
      <c r="Q112" s="24">
        <v>414154618.30642617</v>
      </c>
      <c r="R112" s="24">
        <f t="shared" si="15"/>
        <v>6212319274.5963926</v>
      </c>
      <c r="S112" s="23">
        <f t="shared" si="9"/>
        <v>0.35513581697718771</v>
      </c>
      <c r="T112" s="23">
        <f t="shared" si="16"/>
        <v>0.11837860565906257</v>
      </c>
      <c r="U112" s="23">
        <f t="shared" si="17"/>
        <v>1.0654074509315632</v>
      </c>
    </row>
    <row r="113" spans="1:21" x14ac:dyDescent="0.25">
      <c r="A113" s="18" t="s">
        <v>247</v>
      </c>
      <c r="B113" s="18" t="s">
        <v>248</v>
      </c>
      <c r="C113" s="18" t="s">
        <v>18</v>
      </c>
      <c r="D113" s="18" t="s">
        <v>22</v>
      </c>
      <c r="E113" s="18" t="s">
        <v>23</v>
      </c>
      <c r="F113" s="20">
        <v>6040612</v>
      </c>
      <c r="G113" s="20">
        <v>7459411</v>
      </c>
      <c r="H113" s="21">
        <v>326.89002158513563</v>
      </c>
      <c r="I113" s="22">
        <v>1.1004620318530163</v>
      </c>
      <c r="J113" s="23">
        <f t="shared" si="10"/>
        <v>359.73005734605471</v>
      </c>
      <c r="K113" s="21">
        <v>100</v>
      </c>
      <c r="L113" s="24">
        <f t="shared" si="11"/>
        <v>0</v>
      </c>
      <c r="M113" s="36">
        <f t="shared" si="12"/>
        <v>0</v>
      </c>
      <c r="N113" s="23">
        <v>2.7075295212977562E-2</v>
      </c>
      <c r="O113" s="24">
        <f t="shared" si="13"/>
        <v>0</v>
      </c>
      <c r="P113" s="36">
        <f t="shared" si="14"/>
        <v>0</v>
      </c>
      <c r="Q113" s="24" t="s">
        <v>232</v>
      </c>
      <c r="R113" s="24" t="e">
        <f t="shared" si="15"/>
        <v>#VALUE!</v>
      </c>
      <c r="S113" s="23" t="e">
        <f t="shared" si="9"/>
        <v>#VALUE!</v>
      </c>
      <c r="T113" s="23" t="e">
        <f t="shared" si="16"/>
        <v>#VALUE!</v>
      </c>
      <c r="U113" s="23" t="e">
        <f t="shared" si="17"/>
        <v>#VALUE!</v>
      </c>
    </row>
    <row r="114" spans="1:21" x14ac:dyDescent="0.25">
      <c r="A114" s="18" t="s">
        <v>249</v>
      </c>
      <c r="B114" s="18" t="s">
        <v>250</v>
      </c>
      <c r="C114" s="18" t="s">
        <v>29</v>
      </c>
      <c r="D114" s="18" t="s">
        <v>19</v>
      </c>
      <c r="F114" s="20">
        <v>36120</v>
      </c>
      <c r="G114" s="20">
        <v>41314</v>
      </c>
      <c r="H114" s="20" t="s">
        <v>232</v>
      </c>
      <c r="I114" s="22">
        <v>1.1004620318530163</v>
      </c>
      <c r="J114" s="23" t="e">
        <f t="shared" si="10"/>
        <v>#VALUE!</v>
      </c>
      <c r="K114" s="21">
        <v>100</v>
      </c>
      <c r="L114" s="24">
        <f t="shared" si="11"/>
        <v>0</v>
      </c>
      <c r="M114" s="36">
        <f t="shared" si="12"/>
        <v>0</v>
      </c>
      <c r="N114" s="23">
        <v>0</v>
      </c>
      <c r="O114" s="24" t="e">
        <f t="shared" si="13"/>
        <v>#VALUE!</v>
      </c>
      <c r="P114" s="36">
        <f t="shared" si="14"/>
        <v>0</v>
      </c>
      <c r="Q114" s="24" t="s">
        <v>232</v>
      </c>
      <c r="R114" s="24" t="e">
        <f t="shared" si="15"/>
        <v>#VALUE!</v>
      </c>
      <c r="S114" s="23" t="e">
        <f t="shared" si="9"/>
        <v>#VALUE!</v>
      </c>
      <c r="T114" s="23" t="e">
        <f t="shared" si="16"/>
        <v>#VALUE!</v>
      </c>
      <c r="U114" s="23" t="e">
        <f t="shared" si="17"/>
        <v>#VALUE!</v>
      </c>
    </row>
    <row r="115" spans="1:21" x14ac:dyDescent="0.25">
      <c r="A115" s="18" t="s">
        <v>251</v>
      </c>
      <c r="B115" s="18" t="s">
        <v>252</v>
      </c>
      <c r="C115" s="18" t="s">
        <v>29</v>
      </c>
      <c r="D115" s="18" t="s">
        <v>19</v>
      </c>
      <c r="F115" s="20">
        <v>3097282</v>
      </c>
      <c r="G115" s="20">
        <v>2816749</v>
      </c>
      <c r="H115" s="20" t="s">
        <v>232</v>
      </c>
      <c r="I115" s="22">
        <v>1.1004620318530163</v>
      </c>
      <c r="J115" s="23" t="e">
        <f t="shared" si="10"/>
        <v>#VALUE!</v>
      </c>
      <c r="K115" s="21">
        <v>100</v>
      </c>
      <c r="L115" s="24">
        <f t="shared" si="11"/>
        <v>0</v>
      </c>
      <c r="M115" s="36">
        <f t="shared" si="12"/>
        <v>0</v>
      </c>
      <c r="N115" s="23">
        <v>0</v>
      </c>
      <c r="O115" s="24" t="e">
        <f t="shared" si="13"/>
        <v>#VALUE!</v>
      </c>
      <c r="P115" s="36">
        <f t="shared" si="14"/>
        <v>0</v>
      </c>
      <c r="Q115" s="24">
        <v>397630289.50000304</v>
      </c>
      <c r="R115" s="24">
        <f t="shared" si="15"/>
        <v>5964454342.5000458</v>
      </c>
      <c r="S115" s="23" t="e">
        <f t="shared" si="9"/>
        <v>#VALUE!</v>
      </c>
      <c r="T115" s="23" t="e">
        <f t="shared" si="16"/>
        <v>#VALUE!</v>
      </c>
      <c r="U115" s="23" t="e">
        <f t="shared" si="17"/>
        <v>#VALUE!</v>
      </c>
    </row>
    <row r="116" spans="1:21" x14ac:dyDescent="0.25">
      <c r="A116" s="18" t="s">
        <v>253</v>
      </c>
      <c r="B116" s="18" t="s">
        <v>254</v>
      </c>
      <c r="C116" s="18" t="s">
        <v>45</v>
      </c>
      <c r="D116" s="18" t="s">
        <v>19</v>
      </c>
      <c r="F116" s="20">
        <v>506953</v>
      </c>
      <c r="G116" s="20">
        <v>636826</v>
      </c>
      <c r="H116" s="20" t="s">
        <v>232</v>
      </c>
      <c r="I116" s="22">
        <v>1.1004620318530163</v>
      </c>
      <c r="J116" s="23" t="e">
        <f t="shared" si="10"/>
        <v>#VALUE!</v>
      </c>
      <c r="K116" s="21">
        <v>100</v>
      </c>
      <c r="L116" s="24">
        <f t="shared" si="11"/>
        <v>0</v>
      </c>
      <c r="M116" s="36">
        <f t="shared" si="12"/>
        <v>0</v>
      </c>
      <c r="N116" s="23">
        <v>0</v>
      </c>
      <c r="O116" s="24" t="e">
        <f t="shared" si="13"/>
        <v>#VALUE!</v>
      </c>
      <c r="P116" s="36">
        <f t="shared" si="14"/>
        <v>0</v>
      </c>
      <c r="Q116" s="24">
        <v>58508352.210030153</v>
      </c>
      <c r="R116" s="24">
        <f t="shared" si="15"/>
        <v>877625283.15045226</v>
      </c>
      <c r="S116" s="23" t="e">
        <f t="shared" si="9"/>
        <v>#VALUE!</v>
      </c>
      <c r="T116" s="23" t="e">
        <f t="shared" si="16"/>
        <v>#VALUE!</v>
      </c>
      <c r="U116" s="23" t="e">
        <f t="shared" si="17"/>
        <v>#VALUE!</v>
      </c>
    </row>
    <row r="117" spans="1:21" x14ac:dyDescent="0.25">
      <c r="A117" s="18" t="s">
        <v>255</v>
      </c>
      <c r="B117" s="18" t="s">
        <v>256</v>
      </c>
      <c r="C117" s="18" t="s">
        <v>29</v>
      </c>
      <c r="D117" s="18" t="s">
        <v>26</v>
      </c>
      <c r="F117" s="20">
        <v>534626</v>
      </c>
      <c r="G117" s="24">
        <v>701551</v>
      </c>
      <c r="H117" s="21">
        <v>157</v>
      </c>
      <c r="I117" s="22">
        <v>1.1004620318530163</v>
      </c>
      <c r="J117" s="23">
        <f t="shared" si="10"/>
        <v>172.77253900092356</v>
      </c>
      <c r="K117" s="21">
        <v>93.342330000000004</v>
      </c>
      <c r="L117" s="24">
        <f t="shared" si="11"/>
        <v>46706.950461699955</v>
      </c>
      <c r="M117" s="36">
        <f t="shared" si="12"/>
        <v>46706.950461699955</v>
      </c>
      <c r="N117" s="23">
        <v>0.11040303634246594</v>
      </c>
      <c r="O117" s="24">
        <f t="shared" si="13"/>
        <v>8069678.4202582603</v>
      </c>
      <c r="P117" s="36">
        <f t="shared" si="14"/>
        <v>8069678.4202582603</v>
      </c>
      <c r="Q117" s="24">
        <v>278781.88696400158</v>
      </c>
      <c r="R117" s="24">
        <f t="shared" si="15"/>
        <v>4181728.3044600235</v>
      </c>
      <c r="S117" s="23">
        <f t="shared" si="9"/>
        <v>1.9297471841132152</v>
      </c>
      <c r="T117" s="23">
        <f t="shared" si="16"/>
        <v>0.64324906137107174</v>
      </c>
      <c r="U117" s="23">
        <f t="shared" si="17"/>
        <v>5.7892415523396457</v>
      </c>
    </row>
    <row r="118" spans="1:21" x14ac:dyDescent="0.25">
      <c r="A118" s="18" t="s">
        <v>257</v>
      </c>
      <c r="B118" s="18" t="s">
        <v>258</v>
      </c>
      <c r="C118" s="18" t="s">
        <v>18</v>
      </c>
      <c r="D118" s="18" t="s">
        <v>19</v>
      </c>
      <c r="F118" s="20">
        <v>2102216</v>
      </c>
      <c r="G118" s="24">
        <v>2068730</v>
      </c>
      <c r="H118" s="20" t="s">
        <v>232</v>
      </c>
      <c r="I118" s="22">
        <v>1.1004620318530163</v>
      </c>
      <c r="J118" s="23" t="e">
        <f t="shared" si="10"/>
        <v>#VALUE!</v>
      </c>
      <c r="K118" s="21">
        <v>99</v>
      </c>
      <c r="L118" s="24">
        <f t="shared" si="11"/>
        <v>20687.300000000017</v>
      </c>
      <c r="M118" s="36">
        <f t="shared" si="12"/>
        <v>20687.300000000017</v>
      </c>
      <c r="N118" s="23">
        <v>0</v>
      </c>
      <c r="O118" s="24" t="e">
        <f t="shared" si="13"/>
        <v>#VALUE!</v>
      </c>
      <c r="P118" s="36">
        <f t="shared" si="14"/>
        <v>0</v>
      </c>
      <c r="Q118" s="24">
        <v>424368475.62691891</v>
      </c>
      <c r="R118" s="24">
        <f t="shared" si="15"/>
        <v>6365527134.4037838</v>
      </c>
      <c r="S118" s="23" t="e">
        <f t="shared" si="9"/>
        <v>#VALUE!</v>
      </c>
      <c r="T118" s="23" t="e">
        <f t="shared" si="16"/>
        <v>#VALUE!</v>
      </c>
      <c r="U118" s="23" t="e">
        <f t="shared" si="17"/>
        <v>#VALUE!</v>
      </c>
    </row>
    <row r="119" spans="1:21" x14ac:dyDescent="0.25">
      <c r="A119" s="18" t="s">
        <v>259</v>
      </c>
      <c r="B119" s="18" t="s">
        <v>260</v>
      </c>
      <c r="C119" s="18" t="s">
        <v>14</v>
      </c>
      <c r="D119" s="18" t="s">
        <v>32</v>
      </c>
      <c r="F119" s="20">
        <v>21079532</v>
      </c>
      <c r="G119" s="20">
        <v>36000163</v>
      </c>
      <c r="H119" s="21">
        <v>326.89002158513563</v>
      </c>
      <c r="I119" s="22">
        <v>1.1004620318530163</v>
      </c>
      <c r="J119" s="23">
        <f t="shared" si="10"/>
        <v>359.73005734605471</v>
      </c>
      <c r="K119" s="21">
        <v>14.3</v>
      </c>
      <c r="L119" s="24">
        <f t="shared" si="11"/>
        <v>30852139.691</v>
      </c>
      <c r="M119" s="36">
        <f t="shared" si="12"/>
        <v>30852139.691</v>
      </c>
      <c r="N119" s="23">
        <v>2.7075295212977562E-2</v>
      </c>
      <c r="O119" s="24">
        <f t="shared" si="13"/>
        <v>11098441980.29192</v>
      </c>
      <c r="P119" s="36">
        <f t="shared" si="14"/>
        <v>11098441980.29192</v>
      </c>
      <c r="Q119" s="24">
        <v>692026009.85163426</v>
      </c>
      <c r="R119" s="24">
        <f t="shared" si="15"/>
        <v>10380390147.774513</v>
      </c>
      <c r="S119" s="23">
        <f t="shared" si="9"/>
        <v>1.0691738771178414</v>
      </c>
      <c r="T119" s="23">
        <f t="shared" si="16"/>
        <v>0.3563912923726138</v>
      </c>
      <c r="U119" s="23">
        <f t="shared" si="17"/>
        <v>3.2075216313535244</v>
      </c>
    </row>
    <row r="120" spans="1:21" x14ac:dyDescent="0.25">
      <c r="A120" s="18" t="s">
        <v>261</v>
      </c>
      <c r="B120" s="18" t="s">
        <v>262</v>
      </c>
      <c r="C120" s="18" t="s">
        <v>14</v>
      </c>
      <c r="D120" s="18" t="s">
        <v>32</v>
      </c>
      <c r="F120" s="20">
        <v>15013694</v>
      </c>
      <c r="G120" s="20">
        <v>25959551</v>
      </c>
      <c r="H120" s="21">
        <v>326.89002158513563</v>
      </c>
      <c r="I120" s="22">
        <v>1.1004620318530163</v>
      </c>
      <c r="J120" s="23">
        <f t="shared" si="10"/>
        <v>359.73005734605471</v>
      </c>
      <c r="K120" s="21">
        <v>8.6999999999999993</v>
      </c>
      <c r="L120" s="24">
        <f t="shared" si="11"/>
        <v>23701070.063000001</v>
      </c>
      <c r="M120" s="36">
        <f t="shared" si="12"/>
        <v>23701070.063000001</v>
      </c>
      <c r="N120" s="23">
        <v>2.7075295212977562E-2</v>
      </c>
      <c r="O120" s="24">
        <f t="shared" si="13"/>
        <v>8525987292.9258509</v>
      </c>
      <c r="P120" s="36">
        <f t="shared" si="14"/>
        <v>8525987292.9258509</v>
      </c>
      <c r="Q120" s="24">
        <v>403920728.59788555</v>
      </c>
      <c r="R120" s="24">
        <f t="shared" si="15"/>
        <v>6058810928.9682837</v>
      </c>
      <c r="S120" s="23">
        <f t="shared" si="9"/>
        <v>1.4072047127533795</v>
      </c>
      <c r="T120" s="23">
        <f t="shared" si="16"/>
        <v>0.46906823758445992</v>
      </c>
      <c r="U120" s="23">
        <f t="shared" si="17"/>
        <v>4.2216141382601391</v>
      </c>
    </row>
    <row r="121" spans="1:21" x14ac:dyDescent="0.25">
      <c r="A121" s="18" t="s">
        <v>263</v>
      </c>
      <c r="B121" s="18" t="s">
        <v>264</v>
      </c>
      <c r="C121" s="18" t="s">
        <v>18</v>
      </c>
      <c r="D121" s="18" t="s">
        <v>26</v>
      </c>
      <c r="F121" s="20">
        <v>28275835</v>
      </c>
      <c r="G121" s="20">
        <v>36845517</v>
      </c>
      <c r="H121" s="21">
        <v>157</v>
      </c>
      <c r="I121" s="22">
        <v>1.1004620318530163</v>
      </c>
      <c r="J121" s="23">
        <f t="shared" si="10"/>
        <v>172.77253900092356</v>
      </c>
      <c r="K121" s="21">
        <v>99.3</v>
      </c>
      <c r="L121" s="24">
        <f t="shared" si="11"/>
        <v>257918.61900000024</v>
      </c>
      <c r="M121" s="36">
        <f t="shared" si="12"/>
        <v>257918.61900000024</v>
      </c>
      <c r="N121" s="23">
        <v>0.11040303634246594</v>
      </c>
      <c r="O121" s="24">
        <f t="shared" si="13"/>
        <v>44561254.660241887</v>
      </c>
      <c r="P121" s="36">
        <f t="shared" si="14"/>
        <v>44561254.660241887</v>
      </c>
      <c r="Q121" s="24">
        <v>26660491900.712803</v>
      </c>
      <c r="R121" s="24">
        <f t="shared" si="15"/>
        <v>399907378510.69202</v>
      </c>
      <c r="S121" s="23">
        <f t="shared" si="9"/>
        <v>1.1142893843617964E-4</v>
      </c>
      <c r="T121" s="23">
        <f t="shared" si="16"/>
        <v>3.7142979478726538E-5</v>
      </c>
      <c r="U121" s="23">
        <f t="shared" si="17"/>
        <v>3.3428681530853888E-4</v>
      </c>
    </row>
    <row r="122" spans="1:21" x14ac:dyDescent="0.25">
      <c r="A122" s="18" t="s">
        <v>265</v>
      </c>
      <c r="B122" s="18" t="s">
        <v>266</v>
      </c>
      <c r="C122" s="18" t="s">
        <v>18</v>
      </c>
      <c r="D122" s="18" t="s">
        <v>15</v>
      </c>
      <c r="F122" s="20">
        <v>325694</v>
      </c>
      <c r="G122" s="20">
        <v>435873</v>
      </c>
      <c r="H122" s="21">
        <v>64</v>
      </c>
      <c r="I122" s="22">
        <v>1.1004620318530163</v>
      </c>
      <c r="J122" s="23">
        <f t="shared" si="10"/>
        <v>70.429570038593042</v>
      </c>
      <c r="K122" s="21">
        <v>99.9</v>
      </c>
      <c r="L122" s="24">
        <f t="shared" si="11"/>
        <v>435.87299999995201</v>
      </c>
      <c r="M122" s="36">
        <f t="shared" si="12"/>
        <v>435.87299999995201</v>
      </c>
      <c r="N122" s="23">
        <v>5.8613944938892791E-2</v>
      </c>
      <c r="O122" s="24">
        <f t="shared" si="13"/>
        <v>30698.347981428284</v>
      </c>
      <c r="P122" s="36">
        <f t="shared" si="14"/>
        <v>30698.347981428284</v>
      </c>
      <c r="Q122" s="24">
        <v>1158905.3361817906</v>
      </c>
      <c r="R122" s="24">
        <f t="shared" si="15"/>
        <v>17383580.042726859</v>
      </c>
      <c r="S122" s="23">
        <f t="shared" si="9"/>
        <v>1.7659393465543486E-3</v>
      </c>
      <c r="T122" s="23">
        <f t="shared" si="16"/>
        <v>5.8864644885144946E-4</v>
      </c>
      <c r="U122" s="23">
        <f t="shared" si="17"/>
        <v>5.2978180396630447E-3</v>
      </c>
    </row>
    <row r="123" spans="1:21" x14ac:dyDescent="0.25">
      <c r="A123" s="18" t="s">
        <v>267</v>
      </c>
      <c r="B123" s="18" t="s">
        <v>268</v>
      </c>
      <c r="C123" s="18" t="s">
        <v>14</v>
      </c>
      <c r="D123" s="18" t="s">
        <v>32</v>
      </c>
      <c r="F123" s="20">
        <v>13985961</v>
      </c>
      <c r="G123" s="20">
        <v>26034111</v>
      </c>
      <c r="H123" s="21">
        <v>326.89002158513563</v>
      </c>
      <c r="I123" s="22">
        <v>1.1004620318530163</v>
      </c>
      <c r="J123" s="23">
        <f t="shared" si="10"/>
        <v>359.73005734605471</v>
      </c>
      <c r="K123" s="21">
        <v>16.600000000000001</v>
      </c>
      <c r="L123" s="24">
        <f t="shared" si="11"/>
        <v>21712448.573999997</v>
      </c>
      <c r="M123" s="36">
        <f t="shared" si="12"/>
        <v>21712448.573999997</v>
      </c>
      <c r="N123" s="23">
        <v>2.7075295212977562E-2</v>
      </c>
      <c r="O123" s="24">
        <f t="shared" si="13"/>
        <v>7810620370.648283</v>
      </c>
      <c r="P123" s="36">
        <f t="shared" si="14"/>
        <v>7810620370.648283</v>
      </c>
      <c r="Q123" s="24">
        <v>1347245165.1593575</v>
      </c>
      <c r="R123" s="24">
        <f t="shared" si="15"/>
        <v>20208677477.390362</v>
      </c>
      <c r="S123" s="23">
        <f t="shared" si="9"/>
        <v>0.3864983435648805</v>
      </c>
      <c r="T123" s="23">
        <f t="shared" si="16"/>
        <v>0.12883278118829353</v>
      </c>
      <c r="U123" s="23">
        <f t="shared" si="17"/>
        <v>1.1594950306946414</v>
      </c>
    </row>
    <row r="124" spans="1:21" x14ac:dyDescent="0.25">
      <c r="A124" s="18" t="s">
        <v>269</v>
      </c>
      <c r="B124" s="18" t="s">
        <v>270</v>
      </c>
      <c r="C124" s="18" t="s">
        <v>29</v>
      </c>
      <c r="D124" s="18" t="s">
        <v>22</v>
      </c>
      <c r="F124" s="20">
        <v>414508</v>
      </c>
      <c r="G124" s="20">
        <v>436792</v>
      </c>
      <c r="H124" s="20" t="s">
        <v>232</v>
      </c>
      <c r="I124" s="22">
        <v>1.1004620318530163</v>
      </c>
      <c r="J124" s="23" t="e">
        <f t="shared" si="10"/>
        <v>#VALUE!</v>
      </c>
      <c r="K124" s="21">
        <v>100</v>
      </c>
      <c r="L124" s="24">
        <f t="shared" si="11"/>
        <v>0</v>
      </c>
      <c r="M124" s="36">
        <f t="shared" si="12"/>
        <v>0</v>
      </c>
      <c r="N124" s="23">
        <v>0</v>
      </c>
      <c r="O124" s="24" t="e">
        <f t="shared" si="13"/>
        <v>#VALUE!</v>
      </c>
      <c r="P124" s="36">
        <f t="shared" si="14"/>
        <v>0</v>
      </c>
      <c r="Q124" s="24">
        <v>0</v>
      </c>
      <c r="R124" s="24">
        <f t="shared" si="15"/>
        <v>0</v>
      </c>
      <c r="S124" s="23" t="e">
        <f t="shared" si="9"/>
        <v>#VALUE!</v>
      </c>
      <c r="T124" s="23" t="e">
        <f t="shared" si="16"/>
        <v>#VALUE!</v>
      </c>
      <c r="U124" s="23" t="e">
        <f t="shared" si="17"/>
        <v>#VALUE!</v>
      </c>
    </row>
    <row r="125" spans="1:21" s="31" customFormat="1" x14ac:dyDescent="0.25">
      <c r="A125" s="25" t="s">
        <v>271</v>
      </c>
      <c r="B125" s="25" t="s">
        <v>272</v>
      </c>
      <c r="C125" s="25" t="s">
        <v>18</v>
      </c>
      <c r="D125" s="25" t="s">
        <v>26</v>
      </c>
      <c r="F125" s="26">
        <v>52428</v>
      </c>
      <c r="G125" s="26">
        <v>58101</v>
      </c>
      <c r="H125" s="27">
        <v>157</v>
      </c>
      <c r="I125" s="28">
        <v>1.1004620318530163</v>
      </c>
      <c r="J125" s="29">
        <f t="shared" si="10"/>
        <v>172.77253900092356</v>
      </c>
      <c r="K125" s="27">
        <v>55.766350000000003</v>
      </c>
      <c r="L125" s="24">
        <f t="shared" si="11"/>
        <v>25700.192986500002</v>
      </c>
      <c r="M125" s="36">
        <f t="shared" si="12"/>
        <v>25700.192986500002</v>
      </c>
      <c r="N125" s="29">
        <v>0.11040303634246594</v>
      </c>
      <c r="O125" s="24">
        <f t="shared" si="13"/>
        <v>4440287.5950913336</v>
      </c>
      <c r="P125" s="36">
        <f t="shared" si="14"/>
        <v>4440287.5950913336</v>
      </c>
      <c r="Q125" s="30">
        <v>0</v>
      </c>
      <c r="R125" s="24">
        <f t="shared" si="15"/>
        <v>0</v>
      </c>
      <c r="S125" s="23" t="e">
        <f t="shared" si="9"/>
        <v>#DIV/0!</v>
      </c>
      <c r="T125" s="23" t="e">
        <f t="shared" si="16"/>
        <v>#DIV/0!</v>
      </c>
      <c r="U125" s="23" t="e">
        <f t="shared" si="17"/>
        <v>#DIV/0!</v>
      </c>
    </row>
    <row r="126" spans="1:21" x14ac:dyDescent="0.25">
      <c r="A126" s="18" t="s">
        <v>273</v>
      </c>
      <c r="B126" s="18" t="s">
        <v>274</v>
      </c>
      <c r="C126" s="18" t="s">
        <v>40</v>
      </c>
      <c r="D126" s="18" t="s">
        <v>32</v>
      </c>
      <c r="F126" s="20">
        <v>3609420</v>
      </c>
      <c r="G126" s="20">
        <v>5640323</v>
      </c>
      <c r="H126" s="21">
        <v>326.89002158513563</v>
      </c>
      <c r="I126" s="22">
        <v>1.1004620318530163</v>
      </c>
      <c r="J126" s="23">
        <f t="shared" si="10"/>
        <v>359.73005734605471</v>
      </c>
      <c r="K126" s="21">
        <v>18.2</v>
      </c>
      <c r="L126" s="24">
        <f t="shared" si="11"/>
        <v>4613784.2140000006</v>
      </c>
      <c r="M126" s="36">
        <f t="shared" si="12"/>
        <v>4613784.2140000006</v>
      </c>
      <c r="N126" s="23">
        <v>2.7075295212977562E-2</v>
      </c>
      <c r="O126" s="24">
        <f t="shared" si="13"/>
        <v>1659716859.8845422</v>
      </c>
      <c r="P126" s="36">
        <f t="shared" si="14"/>
        <v>1659716859.8845422</v>
      </c>
      <c r="Q126" s="24">
        <v>1996969500.3540106</v>
      </c>
      <c r="R126" s="24">
        <f t="shared" si="15"/>
        <v>29954542505.310158</v>
      </c>
      <c r="S126" s="23">
        <f t="shared" si="9"/>
        <v>5.5407852067522571E-2</v>
      </c>
      <c r="T126" s="23">
        <f t="shared" si="16"/>
        <v>1.8469284022507523E-2</v>
      </c>
      <c r="U126" s="23">
        <f t="shared" si="17"/>
        <v>0.16622355620256771</v>
      </c>
    </row>
    <row r="127" spans="1:21" x14ac:dyDescent="0.25">
      <c r="A127" s="18" t="s">
        <v>275</v>
      </c>
      <c r="B127" s="18" t="s">
        <v>276</v>
      </c>
      <c r="C127" s="18" t="s">
        <v>18</v>
      </c>
      <c r="D127" s="18" t="s">
        <v>32</v>
      </c>
      <c r="F127" s="20">
        <v>1280924</v>
      </c>
      <c r="G127" s="20">
        <v>1287944</v>
      </c>
      <c r="H127" s="21">
        <v>326.89002158513563</v>
      </c>
      <c r="I127" s="22">
        <v>1.1004620318530163</v>
      </c>
      <c r="J127" s="23">
        <f t="shared" si="10"/>
        <v>359.73005734605471</v>
      </c>
      <c r="K127" s="21">
        <v>100</v>
      </c>
      <c r="L127" s="24">
        <f t="shared" si="11"/>
        <v>0</v>
      </c>
      <c r="M127" s="36">
        <f t="shared" si="12"/>
        <v>0</v>
      </c>
      <c r="N127" s="23">
        <v>2.7075295212977562E-2</v>
      </c>
      <c r="O127" s="24">
        <f t="shared" si="13"/>
        <v>0</v>
      </c>
      <c r="P127" s="36">
        <f t="shared" si="14"/>
        <v>0</v>
      </c>
      <c r="Q127" s="24">
        <v>717808.34286977118</v>
      </c>
      <c r="R127" s="24">
        <f t="shared" si="15"/>
        <v>10767125.143046567</v>
      </c>
      <c r="S127" s="23">
        <f t="shared" si="9"/>
        <v>0</v>
      </c>
      <c r="T127" s="23">
        <f t="shared" si="16"/>
        <v>0</v>
      </c>
      <c r="U127" s="23">
        <f t="shared" si="17"/>
        <v>0</v>
      </c>
    </row>
    <row r="128" spans="1:21" x14ac:dyDescent="0.25">
      <c r="A128" s="18" t="s">
        <v>277</v>
      </c>
      <c r="B128" s="18" t="s">
        <v>278</v>
      </c>
      <c r="C128" s="18" t="s">
        <v>18</v>
      </c>
      <c r="D128" s="18" t="s">
        <v>35</v>
      </c>
      <c r="E128" s="18"/>
      <c r="F128" s="20">
        <v>117886404</v>
      </c>
      <c r="G128" s="20">
        <v>143662574</v>
      </c>
      <c r="H128" s="21">
        <v>326.89002158513563</v>
      </c>
      <c r="I128" s="22">
        <v>1.1004620318530163</v>
      </c>
      <c r="J128" s="23">
        <f t="shared" si="10"/>
        <v>359.73005734605471</v>
      </c>
      <c r="K128" s="21">
        <v>99.24</v>
      </c>
      <c r="L128" s="24">
        <f t="shared" si="11"/>
        <v>1091835.5624000074</v>
      </c>
      <c r="M128" s="36">
        <f t="shared" si="12"/>
        <v>1091835.5624000074</v>
      </c>
      <c r="N128" s="23">
        <v>2.7075295212977562E-2</v>
      </c>
      <c r="O128" s="24">
        <f t="shared" si="13"/>
        <v>392766069.47461653</v>
      </c>
      <c r="P128" s="36">
        <f t="shared" si="14"/>
        <v>392766069.47461653</v>
      </c>
      <c r="Q128" s="24">
        <v>79509538709.839935</v>
      </c>
      <c r="R128" s="24">
        <f t="shared" si="15"/>
        <v>1192643080647.5991</v>
      </c>
      <c r="S128" s="23">
        <f t="shared" si="9"/>
        <v>3.2932406672861973E-4</v>
      </c>
      <c r="T128" s="23">
        <f t="shared" si="16"/>
        <v>1.0977468890953991E-4</v>
      </c>
      <c r="U128" s="23">
        <f t="shared" si="17"/>
        <v>9.8797220018585915E-4</v>
      </c>
    </row>
    <row r="129" spans="1:21" x14ac:dyDescent="0.25">
      <c r="A129" s="18" t="s">
        <v>279</v>
      </c>
      <c r="B129" s="18" t="s">
        <v>280</v>
      </c>
      <c r="C129" s="18" t="s">
        <v>40</v>
      </c>
      <c r="D129" s="18" t="s">
        <v>26</v>
      </c>
      <c r="F129" s="20">
        <v>103619</v>
      </c>
      <c r="G129" s="24">
        <v>120664</v>
      </c>
      <c r="H129" s="21">
        <v>157</v>
      </c>
      <c r="I129" s="22">
        <v>1.1004620318530163</v>
      </c>
      <c r="J129" s="23">
        <f t="shared" si="10"/>
        <v>172.77253900092356</v>
      </c>
      <c r="K129" s="21">
        <v>55.766350000000003</v>
      </c>
      <c r="L129" s="24">
        <f t="shared" si="11"/>
        <v>53374.091436000002</v>
      </c>
      <c r="M129" s="36">
        <f t="shared" si="12"/>
        <v>53374.091436000002</v>
      </c>
      <c r="N129" s="23">
        <v>0.11040303634246594</v>
      </c>
      <c r="O129" s="24">
        <f t="shared" si="13"/>
        <v>9221577.2942651697</v>
      </c>
      <c r="P129" s="36">
        <f t="shared" si="14"/>
        <v>9221577.2942651697</v>
      </c>
      <c r="Q129" s="24">
        <v>122710.4341582333</v>
      </c>
      <c r="R129" s="24">
        <f t="shared" si="15"/>
        <v>1840656.5123734996</v>
      </c>
      <c r="S129" s="23">
        <f t="shared" si="9"/>
        <v>5.0099392430226324</v>
      </c>
      <c r="T129" s="23">
        <f t="shared" si="16"/>
        <v>1.6699797476742109</v>
      </c>
      <c r="U129" s="23">
        <f t="shared" si="17"/>
        <v>15.029817729067899</v>
      </c>
    </row>
    <row r="130" spans="1:21" x14ac:dyDescent="0.25">
      <c r="A130" s="18" t="s">
        <v>281</v>
      </c>
      <c r="B130" s="18" t="s">
        <v>282</v>
      </c>
      <c r="C130" s="18" t="s">
        <v>40</v>
      </c>
      <c r="D130" s="18" t="s">
        <v>19</v>
      </c>
      <c r="F130" s="20">
        <v>3562045</v>
      </c>
      <c r="G130" s="24">
        <v>3066205</v>
      </c>
      <c r="H130" s="20" t="s">
        <v>232</v>
      </c>
      <c r="I130" s="22">
        <v>1.1004620318530163</v>
      </c>
      <c r="J130" s="23" t="e">
        <f t="shared" si="10"/>
        <v>#VALUE!</v>
      </c>
      <c r="K130" s="21">
        <v>98.6</v>
      </c>
      <c r="L130" s="24">
        <f t="shared" si="11"/>
        <v>42926.870000000039</v>
      </c>
      <c r="M130" s="36">
        <f t="shared" si="12"/>
        <v>42926.870000000039</v>
      </c>
      <c r="N130" s="23">
        <v>0</v>
      </c>
      <c r="O130" s="24" t="e">
        <f t="shared" si="13"/>
        <v>#VALUE!</v>
      </c>
      <c r="P130" s="36">
        <f t="shared" si="14"/>
        <v>0</v>
      </c>
      <c r="Q130" s="24">
        <v>26844920.985309076</v>
      </c>
      <c r="R130" s="24">
        <f t="shared" si="15"/>
        <v>402673814.77963614</v>
      </c>
      <c r="S130" s="23" t="e">
        <f t="shared" si="9"/>
        <v>#VALUE!</v>
      </c>
      <c r="T130" s="23" t="e">
        <f t="shared" si="16"/>
        <v>#VALUE!</v>
      </c>
      <c r="U130" s="23" t="e">
        <f t="shared" si="17"/>
        <v>#VALUE!</v>
      </c>
    </row>
    <row r="131" spans="1:21" x14ac:dyDescent="0.25">
      <c r="A131" s="18" t="s">
        <v>283</v>
      </c>
      <c r="B131" s="18" t="s">
        <v>284</v>
      </c>
      <c r="C131" s="18" t="s">
        <v>29</v>
      </c>
      <c r="D131" s="18" t="s">
        <v>19</v>
      </c>
      <c r="F131" s="20">
        <v>36845</v>
      </c>
      <c r="G131" s="20">
        <v>43857</v>
      </c>
      <c r="H131" s="20" t="s">
        <v>232</v>
      </c>
      <c r="I131" s="22">
        <v>1.1004620318530163</v>
      </c>
      <c r="J131" s="23" t="e">
        <f t="shared" si="10"/>
        <v>#VALUE!</v>
      </c>
      <c r="K131" s="21">
        <v>100</v>
      </c>
      <c r="L131" s="24">
        <f t="shared" si="11"/>
        <v>0</v>
      </c>
      <c r="M131" s="36">
        <f t="shared" si="12"/>
        <v>0</v>
      </c>
      <c r="N131" s="23">
        <v>0</v>
      </c>
      <c r="O131" s="24" t="e">
        <f t="shared" si="13"/>
        <v>#VALUE!</v>
      </c>
      <c r="P131" s="36">
        <f t="shared" si="14"/>
        <v>0</v>
      </c>
      <c r="Q131" s="24">
        <v>0</v>
      </c>
      <c r="R131" s="24">
        <f t="shared" si="15"/>
        <v>0</v>
      </c>
      <c r="S131" s="23" t="e">
        <f t="shared" ref="S131:S194" si="18">O131/R131</f>
        <v>#VALUE!</v>
      </c>
      <c r="T131" s="23" t="e">
        <f t="shared" si="16"/>
        <v>#VALUE!</v>
      </c>
      <c r="U131" s="23" t="e">
        <f t="shared" si="17"/>
        <v>#VALUE!</v>
      </c>
    </row>
    <row r="132" spans="1:21" x14ac:dyDescent="0.25">
      <c r="A132" s="18" t="s">
        <v>285</v>
      </c>
      <c r="B132" s="18" t="s">
        <v>286</v>
      </c>
      <c r="C132" s="18" t="s">
        <v>40</v>
      </c>
      <c r="D132" s="18" t="s">
        <v>26</v>
      </c>
      <c r="F132" s="20">
        <v>2712738</v>
      </c>
      <c r="G132" s="20">
        <v>3387631</v>
      </c>
      <c r="H132" s="21">
        <v>157</v>
      </c>
      <c r="I132" s="22">
        <v>1.1004620318530163</v>
      </c>
      <c r="J132" s="23">
        <f t="shared" ref="J132:J195" si="19">H132*I132</f>
        <v>172.77253900092356</v>
      </c>
      <c r="K132" s="21">
        <v>86.2</v>
      </c>
      <c r="L132" s="24">
        <f t="shared" ref="L132:L195" si="20">(1-(K132/100))*G132</f>
        <v>467493.07800000004</v>
      </c>
      <c r="M132" s="36">
        <f t="shared" ref="M132:M195" si="21">IFERROR(L132,0)</f>
        <v>467493.07800000004</v>
      </c>
      <c r="N132" s="23">
        <v>0.11040303634246594</v>
      </c>
      <c r="O132" s="24">
        <f t="shared" ref="O132:O195" si="22">J132*L132</f>
        <v>80769966.051416799</v>
      </c>
      <c r="P132" s="36">
        <f t="shared" ref="P132:P195" si="23">IFERROR(O132,0)</f>
        <v>80769966.051416799</v>
      </c>
      <c r="Q132" s="24">
        <v>2578929370.5691776</v>
      </c>
      <c r="R132" s="24">
        <f t="shared" ref="R132:R195" si="24">Q132*15</f>
        <v>38683940558.537666</v>
      </c>
      <c r="S132" s="23">
        <f t="shared" si="18"/>
        <v>2.0879456664760752E-3</v>
      </c>
      <c r="T132" s="23">
        <f t="shared" si="16"/>
        <v>6.9598188882535829E-4</v>
      </c>
      <c r="U132" s="23">
        <f t="shared" si="17"/>
        <v>6.2638369994282251E-3</v>
      </c>
    </row>
    <row r="133" spans="1:21" x14ac:dyDescent="0.25">
      <c r="A133" s="18" t="s">
        <v>287</v>
      </c>
      <c r="B133" s="18" t="s">
        <v>288</v>
      </c>
      <c r="C133" s="18" t="s">
        <v>18</v>
      </c>
      <c r="D133" s="18" t="s">
        <v>19</v>
      </c>
      <c r="F133" s="20">
        <v>620078</v>
      </c>
      <c r="G133" s="20">
        <v>607757</v>
      </c>
      <c r="H133" s="20" t="s">
        <v>232</v>
      </c>
      <c r="I133" s="22">
        <v>1.1004620318530163</v>
      </c>
      <c r="J133" s="23" t="e">
        <f t="shared" si="19"/>
        <v>#VALUE!</v>
      </c>
      <c r="K133" s="21">
        <v>100</v>
      </c>
      <c r="L133" s="24">
        <f t="shared" si="20"/>
        <v>0</v>
      </c>
      <c r="M133" s="36">
        <f t="shared" si="21"/>
        <v>0</v>
      </c>
      <c r="N133" s="23">
        <v>0</v>
      </c>
      <c r="O133" s="24" t="e">
        <f t="shared" si="22"/>
        <v>#VALUE!</v>
      </c>
      <c r="P133" s="36">
        <f t="shared" si="23"/>
        <v>0</v>
      </c>
      <c r="Q133" s="24">
        <v>57851763.840370655</v>
      </c>
      <c r="R133" s="24">
        <f t="shared" si="24"/>
        <v>867776457.60555983</v>
      </c>
      <c r="S133" s="23" t="e">
        <f t="shared" si="18"/>
        <v>#VALUE!</v>
      </c>
      <c r="T133" s="23" t="e">
        <f t="shared" ref="T133:T196" si="25">(O133/2)/(R133*1.5)</f>
        <v>#VALUE!</v>
      </c>
      <c r="U133" s="23" t="e">
        <f t="shared" ref="U133:U196" si="26">(O133*1.5)/(R133/2)</f>
        <v>#VALUE!</v>
      </c>
    </row>
    <row r="134" spans="1:21" x14ac:dyDescent="0.25">
      <c r="A134" s="18" t="s">
        <v>289</v>
      </c>
      <c r="B134" s="18" t="s">
        <v>290</v>
      </c>
      <c r="C134" s="18" t="s">
        <v>40</v>
      </c>
      <c r="D134" s="18" t="s">
        <v>22</v>
      </c>
      <c r="E134" s="18" t="s">
        <v>23</v>
      </c>
      <c r="F134" s="20">
        <v>31642360</v>
      </c>
      <c r="G134" s="20">
        <v>39190274</v>
      </c>
      <c r="H134" s="21">
        <v>157</v>
      </c>
      <c r="I134" s="22">
        <v>1.1004620318530163</v>
      </c>
      <c r="J134" s="23">
        <f t="shared" si="19"/>
        <v>172.77253900092356</v>
      </c>
      <c r="K134" s="21">
        <v>98.9</v>
      </c>
      <c r="L134" s="24">
        <f t="shared" si="20"/>
        <v>431093.01399999601</v>
      </c>
      <c r="M134" s="36">
        <f t="shared" si="21"/>
        <v>431093.01399999601</v>
      </c>
      <c r="N134" s="23">
        <v>0.11040303634246594</v>
      </c>
      <c r="O134" s="24">
        <f t="shared" si="22"/>
        <v>74481034.574340001</v>
      </c>
      <c r="P134" s="36">
        <f t="shared" si="23"/>
        <v>74481034.574340001</v>
      </c>
      <c r="Q134" s="24">
        <v>2752538514.3211255</v>
      </c>
      <c r="R134" s="24">
        <f t="shared" si="24"/>
        <v>41288077714.816879</v>
      </c>
      <c r="S134" s="23">
        <f t="shared" si="18"/>
        <v>1.8039356321888364E-3</v>
      </c>
      <c r="T134" s="23">
        <f t="shared" si="25"/>
        <v>6.0131187739627888E-4</v>
      </c>
      <c r="U134" s="23">
        <f t="shared" si="26"/>
        <v>5.4118068965665102E-3</v>
      </c>
    </row>
    <row r="135" spans="1:21" x14ac:dyDescent="0.25">
      <c r="A135" s="18" t="s">
        <v>291</v>
      </c>
      <c r="B135" s="18" t="s">
        <v>292</v>
      </c>
      <c r="C135" s="18" t="s">
        <v>14</v>
      </c>
      <c r="D135" s="18" t="s">
        <v>32</v>
      </c>
      <c r="F135" s="20">
        <v>23967265</v>
      </c>
      <c r="G135" s="20">
        <v>38875906</v>
      </c>
      <c r="H135" s="21">
        <v>326.89002158513563</v>
      </c>
      <c r="I135" s="22">
        <v>1.1004620318530163</v>
      </c>
      <c r="J135" s="23">
        <f t="shared" si="19"/>
        <v>359.73005734605471</v>
      </c>
      <c r="K135" s="21">
        <v>15</v>
      </c>
      <c r="L135" s="24">
        <f t="shared" si="20"/>
        <v>33044520.099999998</v>
      </c>
      <c r="M135" s="36">
        <f t="shared" si="21"/>
        <v>33044520.099999998</v>
      </c>
      <c r="N135" s="23">
        <v>2.7075295212977562E-2</v>
      </c>
      <c r="O135" s="24">
        <f t="shared" si="22"/>
        <v>11887107110.545856</v>
      </c>
      <c r="P135" s="36">
        <f t="shared" si="23"/>
        <v>11887107110.545856</v>
      </c>
      <c r="Q135" s="24">
        <v>1468383419.1173403</v>
      </c>
      <c r="R135" s="24">
        <f t="shared" si="24"/>
        <v>22025751286.760105</v>
      </c>
      <c r="S135" s="23">
        <f t="shared" si="18"/>
        <v>0.53969133473741315</v>
      </c>
      <c r="T135" s="23">
        <f t="shared" si="25"/>
        <v>0.17989711157913771</v>
      </c>
      <c r="U135" s="23">
        <f t="shared" si="26"/>
        <v>1.6190740042122396</v>
      </c>
    </row>
    <row r="136" spans="1:21" x14ac:dyDescent="0.25">
      <c r="A136" s="18" t="s">
        <v>293</v>
      </c>
      <c r="B136" s="18" t="s">
        <v>294</v>
      </c>
      <c r="C136" s="18" t="s">
        <v>14</v>
      </c>
      <c r="D136" s="18" t="s">
        <v>26</v>
      </c>
      <c r="F136" s="20">
        <v>51931231</v>
      </c>
      <c r="G136" s="20">
        <v>58697747</v>
      </c>
      <c r="H136" s="21">
        <v>157</v>
      </c>
      <c r="I136" s="22">
        <v>1.1004620318530163</v>
      </c>
      <c r="J136" s="23">
        <f t="shared" si="19"/>
        <v>172.77253900092356</v>
      </c>
      <c r="K136" s="21">
        <v>48.8</v>
      </c>
      <c r="L136" s="24">
        <f t="shared" si="20"/>
        <v>30053246.464000002</v>
      </c>
      <c r="M136" s="36">
        <f t="shared" si="21"/>
        <v>30053246.464000002</v>
      </c>
      <c r="N136" s="23">
        <v>0.11040303634246594</v>
      </c>
      <c r="O136" s="24">
        <f t="shared" si="22"/>
        <v>5192375696.8058081</v>
      </c>
      <c r="P136" s="36">
        <f t="shared" si="23"/>
        <v>5192375696.8058081</v>
      </c>
      <c r="Q136" s="24" t="s">
        <v>232</v>
      </c>
      <c r="R136" s="24" t="e">
        <f t="shared" si="24"/>
        <v>#VALUE!</v>
      </c>
      <c r="S136" s="23" t="e">
        <f t="shared" si="18"/>
        <v>#VALUE!</v>
      </c>
      <c r="T136" s="23" t="e">
        <f t="shared" si="25"/>
        <v>#VALUE!</v>
      </c>
      <c r="U136" s="23" t="e">
        <f t="shared" si="26"/>
        <v>#VALUE!</v>
      </c>
    </row>
    <row r="137" spans="1:21" x14ac:dyDescent="0.25">
      <c r="A137" s="18" t="s">
        <v>295</v>
      </c>
      <c r="B137" s="18" t="s">
        <v>296</v>
      </c>
      <c r="C137" s="18" t="s">
        <v>18</v>
      </c>
      <c r="D137" s="18" t="s">
        <v>32</v>
      </c>
      <c r="F137" s="20">
        <v>2178967</v>
      </c>
      <c r="G137" s="20">
        <v>3042197</v>
      </c>
      <c r="H137" s="21">
        <v>326.89002158513563</v>
      </c>
      <c r="I137" s="22">
        <v>1.1004620318530163</v>
      </c>
      <c r="J137" s="23">
        <f t="shared" si="19"/>
        <v>359.73005734605471</v>
      </c>
      <c r="K137" s="21">
        <v>43.7</v>
      </c>
      <c r="L137" s="24">
        <f t="shared" si="20"/>
        <v>1712756.9109999998</v>
      </c>
      <c r="M137" s="36">
        <f t="shared" si="21"/>
        <v>1712756.9109999998</v>
      </c>
      <c r="N137" s="23">
        <v>2.7075295212977562E-2</v>
      </c>
      <c r="O137" s="24">
        <f t="shared" si="22"/>
        <v>616130141.81388152</v>
      </c>
      <c r="P137" s="36">
        <f t="shared" si="23"/>
        <v>616130141.81388152</v>
      </c>
      <c r="Q137" s="24">
        <v>322584332.15443879</v>
      </c>
      <c r="R137" s="24">
        <f t="shared" si="24"/>
        <v>4838764982.3165817</v>
      </c>
      <c r="S137" s="23">
        <f t="shared" si="18"/>
        <v>0.12733210727645347</v>
      </c>
      <c r="T137" s="23">
        <f t="shared" si="25"/>
        <v>4.2444035758817826E-2</v>
      </c>
      <c r="U137" s="23">
        <f t="shared" si="26"/>
        <v>0.38199632182936044</v>
      </c>
    </row>
    <row r="138" spans="1:21" x14ac:dyDescent="0.25">
      <c r="A138" s="18" t="s">
        <v>297</v>
      </c>
      <c r="B138" s="18" t="s">
        <v>298</v>
      </c>
      <c r="C138" s="18" t="s">
        <v>14</v>
      </c>
      <c r="D138" s="18" t="s">
        <v>15</v>
      </c>
      <c r="F138" s="20">
        <v>26846016</v>
      </c>
      <c r="G138" s="20">
        <v>32853228.000000004</v>
      </c>
      <c r="H138" s="21">
        <v>64</v>
      </c>
      <c r="I138" s="22">
        <v>1.1004620318530163</v>
      </c>
      <c r="J138" s="23">
        <f t="shared" si="19"/>
        <v>70.429570038593042</v>
      </c>
      <c r="K138" s="21">
        <v>76.3</v>
      </c>
      <c r="L138" s="24">
        <f t="shared" si="20"/>
        <v>7786215.0360000003</v>
      </c>
      <c r="M138" s="36">
        <f t="shared" si="21"/>
        <v>7786215.0360000003</v>
      </c>
      <c r="N138" s="23">
        <v>5.8613944938892791E-2</v>
      </c>
      <c r="O138" s="24">
        <f t="shared" si="22"/>
        <v>548379777.21350825</v>
      </c>
      <c r="P138" s="36">
        <f t="shared" si="23"/>
        <v>548379777.21350825</v>
      </c>
      <c r="Q138" s="24">
        <v>1089428122.9560325</v>
      </c>
      <c r="R138" s="24">
        <f t="shared" si="24"/>
        <v>16341421844.340488</v>
      </c>
      <c r="S138" s="23">
        <f t="shared" si="18"/>
        <v>3.3557653822113905E-2</v>
      </c>
      <c r="T138" s="23">
        <f t="shared" si="25"/>
        <v>1.1185884607371301E-2</v>
      </c>
      <c r="U138" s="23">
        <f t="shared" si="26"/>
        <v>0.10067296146634172</v>
      </c>
    </row>
    <row r="139" spans="1:21" x14ac:dyDescent="0.25">
      <c r="A139" s="18" t="s">
        <v>299</v>
      </c>
      <c r="B139" s="18" t="s">
        <v>300</v>
      </c>
      <c r="C139" s="18" t="s">
        <v>45</v>
      </c>
      <c r="D139" s="18" t="s">
        <v>19</v>
      </c>
      <c r="F139" s="20">
        <v>16615394</v>
      </c>
      <c r="G139" s="20">
        <v>17268589</v>
      </c>
      <c r="H139" s="20" t="s">
        <v>232</v>
      </c>
      <c r="I139" s="22">
        <v>1.1004620318530163</v>
      </c>
      <c r="J139" s="23" t="e">
        <f t="shared" si="19"/>
        <v>#VALUE!</v>
      </c>
      <c r="K139" s="21">
        <v>100</v>
      </c>
      <c r="L139" s="24">
        <f t="shared" si="20"/>
        <v>0</v>
      </c>
      <c r="M139" s="36">
        <f t="shared" si="21"/>
        <v>0</v>
      </c>
      <c r="N139" s="23">
        <v>0</v>
      </c>
      <c r="O139" s="24" t="e">
        <f t="shared" si="22"/>
        <v>#VALUE!</v>
      </c>
      <c r="P139" s="36">
        <f t="shared" si="23"/>
        <v>0</v>
      </c>
      <c r="Q139" s="24">
        <v>9858835201.9990978</v>
      </c>
      <c r="R139" s="24">
        <f t="shared" si="24"/>
        <v>147882528029.98648</v>
      </c>
      <c r="S139" s="23" t="e">
        <f t="shared" si="18"/>
        <v>#VALUE!</v>
      </c>
      <c r="T139" s="23" t="e">
        <f t="shared" si="25"/>
        <v>#VALUE!</v>
      </c>
      <c r="U139" s="23" t="e">
        <f t="shared" si="26"/>
        <v>#VALUE!</v>
      </c>
    </row>
    <row r="140" spans="1:21" x14ac:dyDescent="0.25">
      <c r="A140" s="18" t="s">
        <v>301</v>
      </c>
      <c r="B140" s="18" t="s">
        <v>302</v>
      </c>
      <c r="C140" s="18" t="s">
        <v>29</v>
      </c>
      <c r="D140" s="18" t="s">
        <v>26</v>
      </c>
      <c r="F140" s="20">
        <v>249992</v>
      </c>
      <c r="G140" s="20">
        <v>311623</v>
      </c>
      <c r="H140" s="21">
        <v>157</v>
      </c>
      <c r="I140" s="22">
        <v>1.1004620318530163</v>
      </c>
      <c r="J140" s="23">
        <f t="shared" si="19"/>
        <v>172.77253900092356</v>
      </c>
      <c r="K140" s="21">
        <v>55.766350000000003</v>
      </c>
      <c r="L140" s="24">
        <f t="shared" si="20"/>
        <v>137842.2271395</v>
      </c>
      <c r="M140" s="36">
        <f t="shared" si="21"/>
        <v>137842.2271395</v>
      </c>
      <c r="N140" s="23">
        <v>0.11040303634246594</v>
      </c>
      <c r="O140" s="24">
        <f t="shared" si="22"/>
        <v>23815351.564433426</v>
      </c>
      <c r="P140" s="36">
        <f t="shared" si="23"/>
        <v>23815351.564433426</v>
      </c>
      <c r="Q140" s="24" t="s">
        <v>232</v>
      </c>
      <c r="R140" s="24" t="e">
        <f t="shared" si="24"/>
        <v>#VALUE!</v>
      </c>
      <c r="S140" s="23" t="e">
        <f t="shared" si="18"/>
        <v>#VALUE!</v>
      </c>
      <c r="T140" s="23" t="e">
        <f t="shared" si="25"/>
        <v>#VALUE!</v>
      </c>
      <c r="U140" s="23" t="e">
        <f t="shared" si="26"/>
        <v>#VALUE!</v>
      </c>
    </row>
    <row r="141" spans="1:21" x14ac:dyDescent="0.25">
      <c r="A141" s="18" t="s">
        <v>303</v>
      </c>
      <c r="B141" s="18" t="s">
        <v>304</v>
      </c>
      <c r="C141" s="18" t="s">
        <v>45</v>
      </c>
      <c r="D141" s="18" t="s">
        <v>26</v>
      </c>
      <c r="F141" s="20">
        <v>4367800</v>
      </c>
      <c r="G141" s="20">
        <v>5208035</v>
      </c>
      <c r="H141" s="21">
        <v>157</v>
      </c>
      <c r="I141" s="22">
        <v>1.1004620318530163</v>
      </c>
      <c r="J141" s="23">
        <f t="shared" si="19"/>
        <v>172.77253900092356</v>
      </c>
      <c r="K141" s="21">
        <v>100</v>
      </c>
      <c r="L141" s="24">
        <f t="shared" si="20"/>
        <v>0</v>
      </c>
      <c r="M141" s="36">
        <f t="shared" si="21"/>
        <v>0</v>
      </c>
      <c r="N141" s="23">
        <v>0.11040303634246594</v>
      </c>
      <c r="O141" s="24">
        <f t="shared" si="22"/>
        <v>0</v>
      </c>
      <c r="P141" s="36">
        <f t="shared" si="23"/>
        <v>0</v>
      </c>
      <c r="Q141" s="24">
        <v>3454391570.3166966</v>
      </c>
      <c r="R141" s="24">
        <f t="shared" si="24"/>
        <v>51815873554.75045</v>
      </c>
      <c r="S141" s="23">
        <f t="shared" si="18"/>
        <v>0</v>
      </c>
      <c r="T141" s="23">
        <f t="shared" si="25"/>
        <v>0</v>
      </c>
      <c r="U141" s="23">
        <f t="shared" si="26"/>
        <v>0</v>
      </c>
    </row>
    <row r="142" spans="1:21" x14ac:dyDescent="0.25">
      <c r="A142" s="18" t="s">
        <v>305</v>
      </c>
      <c r="B142" s="18" t="s">
        <v>306</v>
      </c>
      <c r="C142" s="18" t="s">
        <v>40</v>
      </c>
      <c r="D142" s="18" t="s">
        <v>35</v>
      </c>
      <c r="E142" s="18"/>
      <c r="F142" s="20">
        <v>5822209</v>
      </c>
      <c r="G142" s="20">
        <v>7390914</v>
      </c>
      <c r="H142" s="21">
        <v>326.89002158513563</v>
      </c>
      <c r="I142" s="22">
        <v>1.1004620318530163</v>
      </c>
      <c r="J142" s="23">
        <f t="shared" si="19"/>
        <v>359.73005734605471</v>
      </c>
      <c r="K142" s="21">
        <v>73.7</v>
      </c>
      <c r="L142" s="24">
        <f t="shared" si="20"/>
        <v>1943810.382</v>
      </c>
      <c r="M142" s="36">
        <f t="shared" si="21"/>
        <v>1943810.382</v>
      </c>
      <c r="N142" s="23">
        <v>2.7075295212977562E-2</v>
      </c>
      <c r="O142" s="24">
        <f t="shared" si="22"/>
        <v>699247020.18671656</v>
      </c>
      <c r="P142" s="36">
        <f t="shared" si="23"/>
        <v>699247020.18671656</v>
      </c>
      <c r="Q142" s="24">
        <v>499234155.04849941</v>
      </c>
      <c r="R142" s="24">
        <f t="shared" si="24"/>
        <v>7488512325.7274914</v>
      </c>
      <c r="S142" s="23">
        <f t="shared" si="18"/>
        <v>9.3375959038537917E-2</v>
      </c>
      <c r="T142" s="23">
        <f t="shared" si="25"/>
        <v>3.1125319679512643E-2</v>
      </c>
      <c r="U142" s="23">
        <f t="shared" si="26"/>
        <v>0.28012787711561377</v>
      </c>
    </row>
    <row r="143" spans="1:21" x14ac:dyDescent="0.25">
      <c r="A143" s="18" t="s">
        <v>307</v>
      </c>
      <c r="B143" s="18" t="s">
        <v>308</v>
      </c>
      <c r="C143" s="18" t="s">
        <v>14</v>
      </c>
      <c r="D143" s="18" t="s">
        <v>32</v>
      </c>
      <c r="F143" s="20">
        <v>15893746</v>
      </c>
      <c r="G143" s="20">
        <v>34512751</v>
      </c>
      <c r="H143" s="21">
        <v>326.89002158513563</v>
      </c>
      <c r="I143" s="22">
        <v>1.1004620318530163</v>
      </c>
      <c r="J143" s="23">
        <f t="shared" si="19"/>
        <v>359.73005734605471</v>
      </c>
      <c r="K143" s="21">
        <v>9.3000000000000007</v>
      </c>
      <c r="L143" s="24">
        <f t="shared" si="20"/>
        <v>31303065.157000002</v>
      </c>
      <c r="M143" s="36">
        <f t="shared" si="21"/>
        <v>31303065.157000002</v>
      </c>
      <c r="N143" s="23">
        <v>2.7075295212977562E-2</v>
      </c>
      <c r="O143" s="24">
        <f t="shared" si="22"/>
        <v>11260653424.034897</v>
      </c>
      <c r="P143" s="36">
        <f t="shared" si="23"/>
        <v>11260653424.034897</v>
      </c>
      <c r="Q143" s="24">
        <v>616279880.15976942</v>
      </c>
      <c r="R143" s="24">
        <f t="shared" si="24"/>
        <v>9244198202.3965416</v>
      </c>
      <c r="S143" s="23">
        <f t="shared" si="18"/>
        <v>1.2181319761313201</v>
      </c>
      <c r="T143" s="23">
        <f t="shared" si="25"/>
        <v>0.40604399204377339</v>
      </c>
      <c r="U143" s="23">
        <f t="shared" si="26"/>
        <v>3.6543959283939604</v>
      </c>
    </row>
    <row r="144" spans="1:21" x14ac:dyDescent="0.25">
      <c r="A144" s="18" t="s">
        <v>309</v>
      </c>
      <c r="B144" s="18" t="s">
        <v>310</v>
      </c>
      <c r="C144" s="18" t="s">
        <v>40</v>
      </c>
      <c r="D144" s="18" t="s">
        <v>32</v>
      </c>
      <c r="F144" s="20">
        <v>159707780</v>
      </c>
      <c r="G144" s="20">
        <v>273120384</v>
      </c>
      <c r="H144" s="21">
        <v>326.89002158513563</v>
      </c>
      <c r="I144" s="22">
        <v>1.1004620318530163</v>
      </c>
      <c r="J144" s="23">
        <f t="shared" si="19"/>
        <v>359.73005734605471</v>
      </c>
      <c r="K144" s="21">
        <v>48</v>
      </c>
      <c r="L144" s="24">
        <f t="shared" si="20"/>
        <v>142022599.68000001</v>
      </c>
      <c r="M144" s="36">
        <f t="shared" si="21"/>
        <v>142022599.68000001</v>
      </c>
      <c r="N144" s="23">
        <v>2.7075295212977562E-2</v>
      </c>
      <c r="O144" s="24">
        <f t="shared" si="22"/>
        <v>51089797927.322174</v>
      </c>
      <c r="P144" s="36">
        <f t="shared" si="23"/>
        <v>51089797927.322174</v>
      </c>
      <c r="Q144" s="24">
        <v>105572259626.5011</v>
      </c>
      <c r="R144" s="24">
        <f t="shared" si="24"/>
        <v>1583583894397.5166</v>
      </c>
      <c r="S144" s="23">
        <f t="shared" si="18"/>
        <v>3.2262135342541846E-2</v>
      </c>
      <c r="T144" s="23">
        <f t="shared" si="25"/>
        <v>1.0754045114180615E-2</v>
      </c>
      <c r="U144" s="23">
        <f t="shared" si="26"/>
        <v>9.6786406027625532E-2</v>
      </c>
    </row>
    <row r="145" spans="1:21" x14ac:dyDescent="0.25">
      <c r="A145" s="18" t="s">
        <v>311</v>
      </c>
      <c r="B145" s="18" t="s">
        <v>312</v>
      </c>
      <c r="C145" s="18" t="s">
        <v>29</v>
      </c>
      <c r="D145" s="18" t="s">
        <v>26</v>
      </c>
      <c r="F145" s="20">
        <v>53860</v>
      </c>
      <c r="G145" s="20">
        <v>56623</v>
      </c>
      <c r="H145" s="21">
        <v>157</v>
      </c>
      <c r="I145" s="22">
        <v>1.1004620318530163</v>
      </c>
      <c r="J145" s="23">
        <f t="shared" si="19"/>
        <v>172.77253900092356</v>
      </c>
      <c r="K145" s="21" t="s">
        <v>232</v>
      </c>
      <c r="L145" s="24" t="e">
        <f t="shared" si="20"/>
        <v>#VALUE!</v>
      </c>
      <c r="M145" s="36">
        <f t="shared" si="21"/>
        <v>0</v>
      </c>
      <c r="N145" s="23">
        <v>0.11040303634246594</v>
      </c>
      <c r="O145" s="24" t="e">
        <f t="shared" si="22"/>
        <v>#VALUE!</v>
      </c>
      <c r="P145" s="36">
        <f t="shared" si="23"/>
        <v>0</v>
      </c>
      <c r="Q145" s="24" t="s">
        <v>232</v>
      </c>
      <c r="R145" s="24" t="e">
        <f t="shared" si="24"/>
        <v>#VALUE!</v>
      </c>
      <c r="S145" s="23" t="e">
        <f t="shared" si="18"/>
        <v>#VALUE!</v>
      </c>
      <c r="T145" s="23" t="e">
        <f t="shared" si="25"/>
        <v>#VALUE!</v>
      </c>
      <c r="U145" s="23" t="e">
        <f t="shared" si="26"/>
        <v>#VALUE!</v>
      </c>
    </row>
    <row r="146" spans="1:21" x14ac:dyDescent="0.25">
      <c r="A146" s="18" t="s">
        <v>313</v>
      </c>
      <c r="B146" s="18" t="s">
        <v>314</v>
      </c>
      <c r="C146" s="18" t="s">
        <v>45</v>
      </c>
      <c r="D146" s="18" t="s">
        <v>19</v>
      </c>
      <c r="F146" s="20">
        <v>4889252</v>
      </c>
      <c r="G146" s="20">
        <v>5837893</v>
      </c>
      <c r="H146" s="20" t="s">
        <v>232</v>
      </c>
      <c r="I146" s="22">
        <v>1.1004620318530163</v>
      </c>
      <c r="J146" s="23" t="e">
        <f t="shared" si="19"/>
        <v>#VALUE!</v>
      </c>
      <c r="K146" s="21">
        <v>100</v>
      </c>
      <c r="L146" s="24">
        <f t="shared" si="20"/>
        <v>0</v>
      </c>
      <c r="M146" s="36">
        <f t="shared" si="21"/>
        <v>0</v>
      </c>
      <c r="N146" s="23">
        <v>0</v>
      </c>
      <c r="O146" s="24" t="e">
        <f t="shared" si="22"/>
        <v>#VALUE!</v>
      </c>
      <c r="P146" s="36">
        <f t="shared" si="23"/>
        <v>0</v>
      </c>
      <c r="Q146" s="24">
        <v>55897649769.889412</v>
      </c>
      <c r="R146" s="24">
        <f t="shared" si="24"/>
        <v>838464746548.34119</v>
      </c>
      <c r="S146" s="23" t="e">
        <f t="shared" si="18"/>
        <v>#VALUE!</v>
      </c>
      <c r="T146" s="23" t="e">
        <f t="shared" si="25"/>
        <v>#VALUE!</v>
      </c>
      <c r="U146" s="23" t="e">
        <f t="shared" si="26"/>
        <v>#VALUE!</v>
      </c>
    </row>
    <row r="147" spans="1:21" x14ac:dyDescent="0.25">
      <c r="A147" s="18" t="s">
        <v>315</v>
      </c>
      <c r="B147" s="18" t="s">
        <v>316</v>
      </c>
      <c r="C147" s="18" t="s">
        <v>29</v>
      </c>
      <c r="D147" s="18" t="s">
        <v>22</v>
      </c>
      <c r="E147" s="18" t="s">
        <v>54</v>
      </c>
      <c r="F147" s="20">
        <v>2802768</v>
      </c>
      <c r="G147" s="20">
        <v>4920265</v>
      </c>
      <c r="H147" s="21">
        <v>157</v>
      </c>
      <c r="I147" s="22">
        <v>1.1004620318530163</v>
      </c>
      <c r="J147" s="23">
        <f t="shared" si="19"/>
        <v>172.77253900092356</v>
      </c>
      <c r="K147" s="21">
        <v>94.135270000000006</v>
      </c>
      <c r="L147" s="24">
        <f t="shared" si="20"/>
        <v>288560.2575344998</v>
      </c>
      <c r="M147" s="36">
        <f t="shared" si="21"/>
        <v>288560.2575344998</v>
      </c>
      <c r="N147" s="23">
        <v>5.8613944938892791E-2</v>
      </c>
      <c r="O147" s="24">
        <f t="shared" si="22"/>
        <v>49855288.348995917</v>
      </c>
      <c r="P147" s="36">
        <f t="shared" si="23"/>
        <v>49855288.348995917</v>
      </c>
      <c r="Q147" s="24">
        <v>24681714780.510975</v>
      </c>
      <c r="R147" s="24">
        <f t="shared" si="24"/>
        <v>370225721707.66461</v>
      </c>
      <c r="S147" s="23">
        <f t="shared" si="18"/>
        <v>1.3466187092306446E-4</v>
      </c>
      <c r="T147" s="23">
        <f t="shared" si="25"/>
        <v>4.4887290307688153E-5</v>
      </c>
      <c r="U147" s="23">
        <f t="shared" si="26"/>
        <v>4.0398561276919334E-4</v>
      </c>
    </row>
    <row r="148" spans="1:21" x14ac:dyDescent="0.25">
      <c r="A148" s="18" t="s">
        <v>317</v>
      </c>
      <c r="B148" s="18" t="s">
        <v>318</v>
      </c>
      <c r="C148" s="18" t="s">
        <v>40</v>
      </c>
      <c r="D148" s="18" t="s">
        <v>15</v>
      </c>
      <c r="F148" s="20">
        <v>173149306</v>
      </c>
      <c r="G148" s="20">
        <v>231743898</v>
      </c>
      <c r="H148" s="21">
        <v>64</v>
      </c>
      <c r="I148" s="22">
        <v>1.1004620318530163</v>
      </c>
      <c r="J148" s="23">
        <f t="shared" si="19"/>
        <v>70.429570038593042</v>
      </c>
      <c r="K148" s="21">
        <v>91.37</v>
      </c>
      <c r="L148" s="24">
        <f t="shared" si="20"/>
        <v>19999498.397399984</v>
      </c>
      <c r="M148" s="36">
        <f t="shared" si="21"/>
        <v>19999498.397399984</v>
      </c>
      <c r="N148" s="23">
        <v>5.8613944938892791E-2</v>
      </c>
      <c r="O148" s="24">
        <f t="shared" si="22"/>
        <v>1408556073.1164114</v>
      </c>
      <c r="P148" s="36">
        <f t="shared" si="23"/>
        <v>1408556073.1164114</v>
      </c>
      <c r="Q148" s="24">
        <v>8516083273.6478567</v>
      </c>
      <c r="R148" s="24">
        <f t="shared" si="24"/>
        <v>127741249104.71785</v>
      </c>
      <c r="S148" s="23">
        <f t="shared" si="18"/>
        <v>1.1026634567834278E-2</v>
      </c>
      <c r="T148" s="23">
        <f t="shared" si="25"/>
        <v>3.6755448559447593E-3</v>
      </c>
      <c r="U148" s="23">
        <f t="shared" si="26"/>
        <v>3.307990370350284E-2</v>
      </c>
    </row>
    <row r="149" spans="1:21" s="31" customFormat="1" x14ac:dyDescent="0.25">
      <c r="A149" s="25" t="s">
        <v>319</v>
      </c>
      <c r="B149" s="25" t="s">
        <v>320</v>
      </c>
      <c r="C149" s="25" t="s">
        <v>18</v>
      </c>
      <c r="D149" s="25" t="s">
        <v>26</v>
      </c>
      <c r="F149" s="26">
        <v>20470</v>
      </c>
      <c r="G149" s="26">
        <v>24836</v>
      </c>
      <c r="H149" s="27">
        <v>157</v>
      </c>
      <c r="I149" s="28">
        <v>1.1004620318530163</v>
      </c>
      <c r="J149" s="29">
        <f t="shared" si="19"/>
        <v>172.77253900092356</v>
      </c>
      <c r="K149" s="27">
        <v>55.766350000000003</v>
      </c>
      <c r="L149" s="24">
        <f t="shared" si="20"/>
        <v>10985.869314000001</v>
      </c>
      <c r="M149" s="36">
        <f t="shared" si="21"/>
        <v>10985.869314000001</v>
      </c>
      <c r="N149" s="29">
        <v>0.11040303634246594</v>
      </c>
      <c r="O149" s="24">
        <f t="shared" si="22"/>
        <v>1898056.5345121145</v>
      </c>
      <c r="P149" s="36">
        <f t="shared" si="23"/>
        <v>1898056.5345121145</v>
      </c>
      <c r="Q149" s="30">
        <v>0</v>
      </c>
      <c r="R149" s="24">
        <f t="shared" si="24"/>
        <v>0</v>
      </c>
      <c r="S149" s="23" t="e">
        <f t="shared" si="18"/>
        <v>#DIV/0!</v>
      </c>
      <c r="T149" s="23" t="e">
        <f t="shared" si="25"/>
        <v>#DIV/0!</v>
      </c>
      <c r="U149" s="23" t="e">
        <f t="shared" si="26"/>
        <v>#DIV/0!</v>
      </c>
    </row>
    <row r="150" spans="1:21" x14ac:dyDescent="0.25">
      <c r="A150" s="18" t="s">
        <v>321</v>
      </c>
      <c r="B150" s="18" t="s">
        <v>322</v>
      </c>
      <c r="C150" s="18" t="s">
        <v>18</v>
      </c>
      <c r="D150" s="18" t="s">
        <v>35</v>
      </c>
      <c r="E150" s="18"/>
      <c r="F150" s="20">
        <v>3678128</v>
      </c>
      <c r="G150" s="20">
        <v>4882047</v>
      </c>
      <c r="H150" s="21">
        <v>326.89002158513563</v>
      </c>
      <c r="I150" s="22">
        <v>1.1004620318530163</v>
      </c>
      <c r="J150" s="23">
        <f t="shared" si="19"/>
        <v>359.73005734605471</v>
      </c>
      <c r="K150" s="21">
        <v>88.229380000000006</v>
      </c>
      <c r="L150" s="24">
        <f t="shared" si="20"/>
        <v>574647.20059139992</v>
      </c>
      <c r="M150" s="36">
        <f t="shared" si="21"/>
        <v>574647.20059139992</v>
      </c>
      <c r="N150" s="23">
        <v>2.7075295212977562E-2</v>
      </c>
      <c r="O150" s="24">
        <f t="shared" si="22"/>
        <v>206717870.42249408</v>
      </c>
      <c r="P150" s="36">
        <f t="shared" si="23"/>
        <v>206717870.42249408</v>
      </c>
      <c r="Q150" s="24">
        <v>223144062.80733454</v>
      </c>
      <c r="R150" s="24">
        <f t="shared" si="24"/>
        <v>3347160942.1100183</v>
      </c>
      <c r="S150" s="23">
        <f t="shared" si="18"/>
        <v>6.1759166648312137E-2</v>
      </c>
      <c r="T150" s="23">
        <f t="shared" si="25"/>
        <v>2.0586388882770711E-2</v>
      </c>
      <c r="U150" s="23">
        <f t="shared" si="26"/>
        <v>0.18527749994493642</v>
      </c>
    </row>
    <row r="151" spans="1:21" x14ac:dyDescent="0.25">
      <c r="A151" s="18" t="s">
        <v>323</v>
      </c>
      <c r="B151" s="18" t="s">
        <v>324</v>
      </c>
      <c r="C151" s="18" t="s">
        <v>40</v>
      </c>
      <c r="D151" s="18" t="s">
        <v>26</v>
      </c>
      <c r="F151" s="20">
        <v>6858945</v>
      </c>
      <c r="G151" s="20">
        <v>10044486</v>
      </c>
      <c r="H151" s="21">
        <v>157</v>
      </c>
      <c r="I151" s="22">
        <v>1.1004620318530163</v>
      </c>
      <c r="J151" s="23">
        <f t="shared" si="19"/>
        <v>172.77253900092356</v>
      </c>
      <c r="K151" s="21">
        <v>14.54415</v>
      </c>
      <c r="L151" s="24">
        <f t="shared" si="20"/>
        <v>8583600.8894309998</v>
      </c>
      <c r="M151" s="36">
        <f t="shared" si="21"/>
        <v>8583600.8894309998</v>
      </c>
      <c r="N151" s="23">
        <v>0.11040303634246594</v>
      </c>
      <c r="O151" s="24">
        <f t="shared" si="22"/>
        <v>1483010519.4375796</v>
      </c>
      <c r="P151" s="36">
        <f t="shared" si="23"/>
        <v>1483010519.4375796</v>
      </c>
      <c r="Q151" s="24">
        <v>4102225109.4098563</v>
      </c>
      <c r="R151" s="24">
        <f t="shared" si="24"/>
        <v>61533376641.147842</v>
      </c>
      <c r="S151" s="23">
        <f t="shared" si="18"/>
        <v>2.4100912389161479E-2</v>
      </c>
      <c r="T151" s="23">
        <f t="shared" si="25"/>
        <v>8.0336374630538259E-3</v>
      </c>
      <c r="U151" s="23">
        <f t="shared" si="26"/>
        <v>7.2302737167484435E-2</v>
      </c>
    </row>
    <row r="152" spans="1:21" x14ac:dyDescent="0.25">
      <c r="A152" s="18" t="s">
        <v>325</v>
      </c>
      <c r="B152" s="18" t="s">
        <v>326</v>
      </c>
      <c r="C152" s="18" t="s">
        <v>40</v>
      </c>
      <c r="D152" s="18" t="s">
        <v>35</v>
      </c>
      <c r="E152" s="18"/>
      <c r="F152" s="20">
        <v>6459721</v>
      </c>
      <c r="G152" s="20">
        <v>8693133</v>
      </c>
      <c r="H152" s="21">
        <v>326.89002158513563</v>
      </c>
      <c r="I152" s="22">
        <v>1.1004620318530163</v>
      </c>
      <c r="J152" s="23">
        <f t="shared" si="19"/>
        <v>359.73005734605471</v>
      </c>
      <c r="K152" s="21">
        <v>97.43</v>
      </c>
      <c r="L152" s="24">
        <f t="shared" si="20"/>
        <v>223413.51809999952</v>
      </c>
      <c r="M152" s="36">
        <f t="shared" si="21"/>
        <v>223413.51809999952</v>
      </c>
      <c r="N152" s="23">
        <v>2.7075295212977562E-2</v>
      </c>
      <c r="O152" s="24">
        <f t="shared" si="22"/>
        <v>80368557.677996665</v>
      </c>
      <c r="P152" s="36">
        <f t="shared" si="23"/>
        <v>80368557.677996665</v>
      </c>
      <c r="Q152" s="24">
        <v>1106511912.5295491</v>
      </c>
      <c r="R152" s="24">
        <f t="shared" si="24"/>
        <v>16597678687.943237</v>
      </c>
      <c r="S152" s="23">
        <f t="shared" si="18"/>
        <v>4.8421564960392559E-3</v>
      </c>
      <c r="T152" s="23">
        <f t="shared" si="25"/>
        <v>1.6140521653464188E-3</v>
      </c>
      <c r="U152" s="23">
        <f t="shared" si="26"/>
        <v>1.4526469488117769E-2</v>
      </c>
    </row>
    <row r="153" spans="1:21" x14ac:dyDescent="0.25">
      <c r="A153" s="18" t="s">
        <v>327</v>
      </c>
      <c r="B153" s="18" t="s">
        <v>328</v>
      </c>
      <c r="C153" s="18" t="s">
        <v>18</v>
      </c>
      <c r="D153" s="18" t="s">
        <v>35</v>
      </c>
      <c r="E153" s="18"/>
      <c r="F153" s="20">
        <v>29262830</v>
      </c>
      <c r="G153" s="20">
        <v>36513996</v>
      </c>
      <c r="H153" s="21">
        <v>326.89002158513563</v>
      </c>
      <c r="I153" s="22">
        <v>1.1004620318530163</v>
      </c>
      <c r="J153" s="23">
        <f t="shared" si="19"/>
        <v>359.73005734605471</v>
      </c>
      <c r="K153" s="21">
        <v>85.1</v>
      </c>
      <c r="L153" s="24">
        <f t="shared" si="20"/>
        <v>5440585.404000001</v>
      </c>
      <c r="M153" s="36">
        <f t="shared" si="21"/>
        <v>5440585.404000001</v>
      </c>
      <c r="N153" s="23">
        <v>2.7075295212977562E-2</v>
      </c>
      <c r="O153" s="24">
        <f t="shared" si="22"/>
        <v>1957142099.3770287</v>
      </c>
      <c r="P153" s="36">
        <f t="shared" si="23"/>
        <v>1957142099.3770287</v>
      </c>
      <c r="Q153" s="24">
        <v>18873226426.094227</v>
      </c>
      <c r="R153" s="24">
        <f t="shared" si="24"/>
        <v>283098396391.41339</v>
      </c>
      <c r="S153" s="23">
        <f t="shared" si="18"/>
        <v>6.9132927784976688E-3</v>
      </c>
      <c r="T153" s="23">
        <f t="shared" si="25"/>
        <v>2.3044309261658893E-3</v>
      </c>
      <c r="U153" s="23">
        <f t="shared" si="26"/>
        <v>2.0739878335493008E-2</v>
      </c>
    </row>
    <row r="154" spans="1:21" x14ac:dyDescent="0.25">
      <c r="A154" s="18" t="s">
        <v>329</v>
      </c>
      <c r="B154" s="18" t="s">
        <v>330</v>
      </c>
      <c r="C154" s="18" t="s">
        <v>40</v>
      </c>
      <c r="D154" s="18" t="s">
        <v>26</v>
      </c>
      <c r="F154" s="20">
        <v>93444322</v>
      </c>
      <c r="G154" s="20">
        <v>127797234</v>
      </c>
      <c r="H154" s="21">
        <v>157</v>
      </c>
      <c r="I154" s="22">
        <v>1.1004620318530163</v>
      </c>
      <c r="J154" s="23">
        <f t="shared" si="19"/>
        <v>172.77253900092356</v>
      </c>
      <c r="K154" s="21">
        <v>83.3</v>
      </c>
      <c r="L154" s="24">
        <f t="shared" si="20"/>
        <v>21342138.078000005</v>
      </c>
      <c r="M154" s="36">
        <f t="shared" si="21"/>
        <v>21342138.078000005</v>
      </c>
      <c r="N154" s="23">
        <v>0.11040303634246594</v>
      </c>
      <c r="O154" s="24">
        <f t="shared" si="22"/>
        <v>3687335383.4443517</v>
      </c>
      <c r="P154" s="36">
        <f t="shared" si="23"/>
        <v>3687335383.4443517</v>
      </c>
      <c r="Q154" s="24">
        <v>7783755597.3120575</v>
      </c>
      <c r="R154" s="24">
        <f t="shared" si="24"/>
        <v>116756333959.68086</v>
      </c>
      <c r="S154" s="23">
        <f t="shared" si="18"/>
        <v>3.1581459081420703E-2</v>
      </c>
      <c r="T154" s="23">
        <f t="shared" si="25"/>
        <v>1.0527153027140234E-2</v>
      </c>
      <c r="U154" s="23">
        <f t="shared" si="26"/>
        <v>9.4744377244262115E-2</v>
      </c>
    </row>
    <row r="155" spans="1:21" x14ac:dyDescent="0.25">
      <c r="A155" s="18" t="s">
        <v>331</v>
      </c>
      <c r="B155" s="18" t="s">
        <v>332</v>
      </c>
      <c r="C155" s="18" t="s">
        <v>45</v>
      </c>
      <c r="D155" s="18" t="s">
        <v>19</v>
      </c>
      <c r="F155" s="20">
        <v>38183683</v>
      </c>
      <c r="G155" s="20">
        <v>37447642</v>
      </c>
      <c r="H155" s="20" t="s">
        <v>232</v>
      </c>
      <c r="I155" s="22">
        <v>1.1004620318530163</v>
      </c>
      <c r="J155" s="23" t="e">
        <f t="shared" si="19"/>
        <v>#VALUE!</v>
      </c>
      <c r="K155" s="21">
        <v>100</v>
      </c>
      <c r="L155" s="24">
        <f t="shared" si="20"/>
        <v>0</v>
      </c>
      <c r="M155" s="36">
        <f t="shared" si="21"/>
        <v>0</v>
      </c>
      <c r="N155" s="23">
        <v>0</v>
      </c>
      <c r="O155" s="24" t="e">
        <f t="shared" si="22"/>
        <v>#VALUE!</v>
      </c>
      <c r="P155" s="36">
        <f t="shared" si="23"/>
        <v>0</v>
      </c>
      <c r="Q155" s="24">
        <v>8848984711.9180393</v>
      </c>
      <c r="R155" s="24">
        <f t="shared" si="24"/>
        <v>132734770678.77058</v>
      </c>
      <c r="S155" s="23" t="e">
        <f t="shared" si="18"/>
        <v>#VALUE!</v>
      </c>
      <c r="T155" s="23" t="e">
        <f t="shared" si="25"/>
        <v>#VALUE!</v>
      </c>
      <c r="U155" s="23" t="e">
        <f t="shared" si="26"/>
        <v>#VALUE!</v>
      </c>
    </row>
    <row r="156" spans="1:21" x14ac:dyDescent="0.25">
      <c r="A156" s="18" t="s">
        <v>333</v>
      </c>
      <c r="B156" s="18" t="s">
        <v>334</v>
      </c>
      <c r="C156" s="18" t="s">
        <v>45</v>
      </c>
      <c r="D156" s="18" t="s">
        <v>19</v>
      </c>
      <c r="F156" s="20">
        <v>10573100</v>
      </c>
      <c r="G156" s="20">
        <v>10432816</v>
      </c>
      <c r="H156" s="20" t="s">
        <v>232</v>
      </c>
      <c r="I156" s="22">
        <v>1.1004620318530163</v>
      </c>
      <c r="J156" s="23" t="e">
        <f t="shared" si="19"/>
        <v>#VALUE!</v>
      </c>
      <c r="K156" s="21">
        <v>100</v>
      </c>
      <c r="L156" s="24">
        <f t="shared" si="20"/>
        <v>0</v>
      </c>
      <c r="M156" s="36">
        <f t="shared" si="21"/>
        <v>0</v>
      </c>
      <c r="N156" s="23">
        <v>0</v>
      </c>
      <c r="O156" s="24" t="e">
        <f t="shared" si="22"/>
        <v>#VALUE!</v>
      </c>
      <c r="P156" s="36">
        <f t="shared" si="23"/>
        <v>0</v>
      </c>
      <c r="Q156" s="24">
        <v>1382577582.3167782</v>
      </c>
      <c r="R156" s="24">
        <f t="shared" si="24"/>
        <v>20738663734.751671</v>
      </c>
      <c r="S156" s="23" t="e">
        <f t="shared" si="18"/>
        <v>#VALUE!</v>
      </c>
      <c r="T156" s="23" t="e">
        <f t="shared" si="25"/>
        <v>#VALUE!</v>
      </c>
      <c r="U156" s="23" t="e">
        <f t="shared" si="26"/>
        <v>#VALUE!</v>
      </c>
    </row>
    <row r="157" spans="1:21" s="31" customFormat="1" x14ac:dyDescent="0.25">
      <c r="A157" s="25" t="s">
        <v>335</v>
      </c>
      <c r="B157" s="25" t="s">
        <v>336</v>
      </c>
      <c r="C157" s="25" t="s">
        <v>29</v>
      </c>
      <c r="D157" s="25" t="s">
        <v>35</v>
      </c>
      <c r="E157" s="25"/>
      <c r="F157" s="26">
        <v>3721208</v>
      </c>
      <c r="G157" s="26">
        <v>3703707</v>
      </c>
      <c r="H157" s="27">
        <v>326.89002158513563</v>
      </c>
      <c r="I157" s="28">
        <v>1.1004620318530163</v>
      </c>
      <c r="J157" s="29">
        <f t="shared" si="19"/>
        <v>359.73005734605471</v>
      </c>
      <c r="K157" s="27">
        <v>88.229380000000006</v>
      </c>
      <c r="L157" s="24">
        <f t="shared" si="20"/>
        <v>435949.27688339993</v>
      </c>
      <c r="M157" s="36">
        <f t="shared" si="21"/>
        <v>435949.27688339993</v>
      </c>
      <c r="N157" s="29">
        <v>2.7075295212977562E-2</v>
      </c>
      <c r="O157" s="24">
        <f t="shared" si="22"/>
        <v>156824058.37323654</v>
      </c>
      <c r="P157" s="36">
        <f t="shared" si="23"/>
        <v>156824058.37323654</v>
      </c>
      <c r="Q157" s="30">
        <v>0</v>
      </c>
      <c r="R157" s="24">
        <f t="shared" si="24"/>
        <v>0</v>
      </c>
      <c r="S157" s="23" t="e">
        <f t="shared" si="18"/>
        <v>#DIV/0!</v>
      </c>
      <c r="T157" s="23" t="e">
        <f t="shared" si="25"/>
        <v>#DIV/0!</v>
      </c>
      <c r="U157" s="23" t="e">
        <f t="shared" si="26"/>
        <v>#DIV/0!</v>
      </c>
    </row>
    <row r="158" spans="1:21" x14ac:dyDescent="0.25">
      <c r="A158" s="18" t="s">
        <v>337</v>
      </c>
      <c r="B158" s="18" t="s">
        <v>338</v>
      </c>
      <c r="C158" s="18" t="s">
        <v>29</v>
      </c>
      <c r="D158" s="18" t="s">
        <v>22</v>
      </c>
      <c r="E158" s="18" t="s">
        <v>54</v>
      </c>
      <c r="F158" s="20">
        <v>1749713</v>
      </c>
      <c r="G158" s="20">
        <v>2760329</v>
      </c>
      <c r="H158" s="21">
        <v>157</v>
      </c>
      <c r="I158" s="22">
        <v>1.1004620318530163</v>
      </c>
      <c r="J158" s="23">
        <f t="shared" si="19"/>
        <v>172.77253900092356</v>
      </c>
      <c r="K158" s="21">
        <v>94.135270000000006</v>
      </c>
      <c r="L158" s="24">
        <f t="shared" si="20"/>
        <v>161885.84296169988</v>
      </c>
      <c r="M158" s="36">
        <f t="shared" si="21"/>
        <v>161885.84296169988</v>
      </c>
      <c r="N158" s="23">
        <v>5.8613944938892791E-2</v>
      </c>
      <c r="O158" s="24">
        <f t="shared" si="22"/>
        <v>27969428.116797678</v>
      </c>
      <c r="P158" s="36">
        <f t="shared" si="23"/>
        <v>27969428.116797678</v>
      </c>
      <c r="Q158" s="24">
        <v>36198411498.324532</v>
      </c>
      <c r="R158" s="24">
        <f t="shared" si="24"/>
        <v>542976172474.86798</v>
      </c>
      <c r="S158" s="23">
        <f t="shared" si="18"/>
        <v>5.1511336103965523E-5</v>
      </c>
      <c r="T158" s="23">
        <f t="shared" si="25"/>
        <v>1.7170445367988508E-5</v>
      </c>
      <c r="U158" s="23">
        <f t="shared" si="26"/>
        <v>1.5453400831189656E-4</v>
      </c>
    </row>
    <row r="159" spans="1:21" x14ac:dyDescent="0.25">
      <c r="A159" s="18" t="s">
        <v>339</v>
      </c>
      <c r="B159" s="18" t="s">
        <v>340</v>
      </c>
      <c r="C159" s="18" t="s">
        <v>18</v>
      </c>
      <c r="D159" s="18" t="s">
        <v>19</v>
      </c>
      <c r="F159" s="20">
        <v>20246871</v>
      </c>
      <c r="G159" s="20">
        <v>20232088</v>
      </c>
      <c r="H159" s="20" t="s">
        <v>232</v>
      </c>
      <c r="I159" s="22">
        <v>1.1004620318530163</v>
      </c>
      <c r="J159" s="23" t="e">
        <f t="shared" si="19"/>
        <v>#VALUE!</v>
      </c>
      <c r="K159" s="21">
        <v>100</v>
      </c>
      <c r="L159" s="24">
        <f t="shared" si="20"/>
        <v>0</v>
      </c>
      <c r="M159" s="36">
        <f t="shared" si="21"/>
        <v>0</v>
      </c>
      <c r="N159" s="23">
        <v>0</v>
      </c>
      <c r="O159" s="24" t="e">
        <f t="shared" si="22"/>
        <v>#VALUE!</v>
      </c>
      <c r="P159" s="36">
        <f t="shared" si="23"/>
        <v>0</v>
      </c>
      <c r="Q159" s="24">
        <v>4151541416.0069842</v>
      </c>
      <c r="R159" s="24">
        <f t="shared" si="24"/>
        <v>62273121240.104767</v>
      </c>
      <c r="S159" s="23" t="e">
        <f t="shared" si="18"/>
        <v>#VALUE!</v>
      </c>
      <c r="T159" s="23" t="e">
        <f t="shared" si="25"/>
        <v>#VALUE!</v>
      </c>
      <c r="U159" s="23" t="e">
        <f t="shared" si="26"/>
        <v>#VALUE!</v>
      </c>
    </row>
    <row r="160" spans="1:21" x14ac:dyDescent="0.25">
      <c r="A160" s="18" t="s">
        <v>341</v>
      </c>
      <c r="B160" s="18" t="s">
        <v>342</v>
      </c>
      <c r="C160" s="18" t="s">
        <v>29</v>
      </c>
      <c r="D160" s="18" t="s">
        <v>19</v>
      </c>
      <c r="F160" s="20">
        <v>142389000</v>
      </c>
      <c r="G160" s="20">
        <v>133556108</v>
      </c>
      <c r="H160" s="20" t="s">
        <v>232</v>
      </c>
      <c r="I160" s="22">
        <v>1.1004620318530163</v>
      </c>
      <c r="J160" s="23" t="e">
        <f t="shared" si="19"/>
        <v>#VALUE!</v>
      </c>
      <c r="K160" s="21">
        <v>100</v>
      </c>
      <c r="L160" s="24">
        <f t="shared" si="20"/>
        <v>0</v>
      </c>
      <c r="M160" s="36">
        <f t="shared" si="21"/>
        <v>0</v>
      </c>
      <c r="N160" s="23">
        <v>0</v>
      </c>
      <c r="O160" s="24" t="e">
        <f t="shared" si="22"/>
        <v>#VALUE!</v>
      </c>
      <c r="P160" s="36">
        <f t="shared" si="23"/>
        <v>0</v>
      </c>
      <c r="Q160" s="24">
        <v>321602181004.87122</v>
      </c>
      <c r="R160" s="24">
        <f t="shared" si="24"/>
        <v>4824032715073.0684</v>
      </c>
      <c r="S160" s="23" t="e">
        <f t="shared" si="18"/>
        <v>#VALUE!</v>
      </c>
      <c r="T160" s="23" t="e">
        <f t="shared" si="25"/>
        <v>#VALUE!</v>
      </c>
      <c r="U160" s="23" t="e">
        <f t="shared" si="26"/>
        <v>#VALUE!</v>
      </c>
    </row>
    <row r="161" spans="1:21" x14ac:dyDescent="0.25">
      <c r="A161" s="18" t="s">
        <v>343</v>
      </c>
      <c r="B161" s="18" t="s">
        <v>344</v>
      </c>
      <c r="C161" s="18" t="s">
        <v>14</v>
      </c>
      <c r="D161" s="18" t="s">
        <v>32</v>
      </c>
      <c r="F161" s="20">
        <v>10836732</v>
      </c>
      <c r="G161" s="20">
        <v>17771249</v>
      </c>
      <c r="H161" s="21">
        <v>326.89002158513563</v>
      </c>
      <c r="I161" s="22">
        <v>1.1004620318530163</v>
      </c>
      <c r="J161" s="23">
        <f t="shared" si="19"/>
        <v>359.73005734605471</v>
      </c>
      <c r="K161" s="21">
        <v>10.8</v>
      </c>
      <c r="L161" s="24">
        <f t="shared" si="20"/>
        <v>15851954.108000001</v>
      </c>
      <c r="M161" s="36">
        <f t="shared" si="21"/>
        <v>15851954.108000001</v>
      </c>
      <c r="N161" s="23">
        <v>2.7075295212977562E-2</v>
      </c>
      <c r="O161" s="24">
        <f t="shared" si="22"/>
        <v>5702424360.3178682</v>
      </c>
      <c r="P161" s="36">
        <f t="shared" si="23"/>
        <v>5702424360.3178682</v>
      </c>
      <c r="Q161" s="24">
        <v>374942592.12015301</v>
      </c>
      <c r="R161" s="24">
        <f t="shared" si="24"/>
        <v>5624138881.8022947</v>
      </c>
      <c r="S161" s="23">
        <f t="shared" si="18"/>
        <v>1.0139195493142741</v>
      </c>
      <c r="T161" s="23">
        <f t="shared" si="25"/>
        <v>0.33797318310475805</v>
      </c>
      <c r="U161" s="23">
        <f t="shared" si="26"/>
        <v>3.0417586479428227</v>
      </c>
    </row>
    <row r="162" spans="1:21" x14ac:dyDescent="0.25">
      <c r="A162" s="18" t="s">
        <v>345</v>
      </c>
      <c r="B162" s="18" t="s">
        <v>346</v>
      </c>
      <c r="C162" s="18" t="s">
        <v>40</v>
      </c>
      <c r="D162" s="18" t="s">
        <v>26</v>
      </c>
      <c r="F162" s="20">
        <v>186029</v>
      </c>
      <c r="G162" s="20">
        <v>211105</v>
      </c>
      <c r="H162" s="21">
        <v>157</v>
      </c>
      <c r="I162" s="22">
        <v>1.1004620318530163</v>
      </c>
      <c r="J162" s="23">
        <f t="shared" si="19"/>
        <v>172.77253900092356</v>
      </c>
      <c r="K162" s="21">
        <v>99.6</v>
      </c>
      <c r="L162" s="24">
        <f t="shared" si="20"/>
        <v>844.42000000000075</v>
      </c>
      <c r="M162" s="36">
        <f t="shared" si="21"/>
        <v>844.42000000000075</v>
      </c>
      <c r="N162" s="23">
        <v>0.11040303634246594</v>
      </c>
      <c r="O162" s="24">
        <f t="shared" si="22"/>
        <v>145892.58738315999</v>
      </c>
      <c r="P162" s="36">
        <f t="shared" si="23"/>
        <v>145892.58738315999</v>
      </c>
      <c r="Q162" s="24">
        <v>4184944.6022272655</v>
      </c>
      <c r="R162" s="24">
        <f t="shared" si="24"/>
        <v>62774169.033408985</v>
      </c>
      <c r="S162" s="23">
        <f t="shared" si="18"/>
        <v>2.3240863181401036E-3</v>
      </c>
      <c r="T162" s="23">
        <f t="shared" si="25"/>
        <v>7.7469543938003458E-4</v>
      </c>
      <c r="U162" s="23">
        <f t="shared" si="26"/>
        <v>6.9722589544203104E-3</v>
      </c>
    </row>
    <row r="163" spans="1:21" x14ac:dyDescent="0.25">
      <c r="A163" s="18" t="s">
        <v>347</v>
      </c>
      <c r="B163" s="18" t="s">
        <v>348</v>
      </c>
      <c r="C163" s="18" t="s">
        <v>29</v>
      </c>
      <c r="D163" s="18" t="s">
        <v>19</v>
      </c>
      <c r="F163" s="20">
        <v>30861</v>
      </c>
      <c r="G163" s="20">
        <v>33108</v>
      </c>
      <c r="H163" s="20" t="s">
        <v>232</v>
      </c>
      <c r="I163" s="22">
        <v>1.1004620318530163</v>
      </c>
      <c r="J163" s="23" t="e">
        <f t="shared" si="19"/>
        <v>#VALUE!</v>
      </c>
      <c r="K163" s="21">
        <v>100</v>
      </c>
      <c r="L163" s="24">
        <f t="shared" si="20"/>
        <v>0</v>
      </c>
      <c r="M163" s="36">
        <f t="shared" si="21"/>
        <v>0</v>
      </c>
      <c r="N163" s="23">
        <v>0</v>
      </c>
      <c r="O163" s="24" t="e">
        <f t="shared" si="22"/>
        <v>#VALUE!</v>
      </c>
      <c r="P163" s="36">
        <f t="shared" si="23"/>
        <v>0</v>
      </c>
      <c r="Q163" s="24" t="s">
        <v>232</v>
      </c>
      <c r="R163" s="24" t="e">
        <f t="shared" si="24"/>
        <v>#VALUE!</v>
      </c>
      <c r="S163" s="23" t="e">
        <f t="shared" si="18"/>
        <v>#VALUE!</v>
      </c>
      <c r="T163" s="23" t="e">
        <f t="shared" si="25"/>
        <v>#VALUE!</v>
      </c>
      <c r="U163" s="23" t="e">
        <f t="shared" si="26"/>
        <v>#VALUE!</v>
      </c>
    </row>
    <row r="164" spans="1:21" x14ac:dyDescent="0.25">
      <c r="A164" s="18" t="s">
        <v>349</v>
      </c>
      <c r="B164" s="18" t="s">
        <v>350</v>
      </c>
      <c r="C164" s="18" t="s">
        <v>40</v>
      </c>
      <c r="D164" s="18" t="s">
        <v>32</v>
      </c>
      <c r="F164" s="20">
        <v>178228</v>
      </c>
      <c r="G164" s="20">
        <v>278192</v>
      </c>
      <c r="H164" s="21">
        <v>326.89002158513563</v>
      </c>
      <c r="I164" s="22">
        <v>1.1004620318530163</v>
      </c>
      <c r="J164" s="23">
        <f t="shared" si="19"/>
        <v>359.73005734605471</v>
      </c>
      <c r="K164" s="21">
        <v>56.9</v>
      </c>
      <c r="L164" s="24">
        <f t="shared" si="20"/>
        <v>119900.75200000001</v>
      </c>
      <c r="M164" s="36">
        <f t="shared" si="21"/>
        <v>119900.75200000001</v>
      </c>
      <c r="N164" s="23">
        <v>2.7075295212977562E-2</v>
      </c>
      <c r="O164" s="24">
        <f t="shared" si="22"/>
        <v>43131904.392795086</v>
      </c>
      <c r="P164" s="36">
        <f t="shared" si="23"/>
        <v>43131904.392795086</v>
      </c>
      <c r="Q164" s="24">
        <v>6448878.1292010797</v>
      </c>
      <c r="R164" s="24">
        <f t="shared" si="24"/>
        <v>96733171.938016191</v>
      </c>
      <c r="S164" s="23">
        <f t="shared" si="18"/>
        <v>0.44588535172228982</v>
      </c>
      <c r="T164" s="23">
        <f t="shared" si="25"/>
        <v>0.1486284505740966</v>
      </c>
      <c r="U164" s="23">
        <f t="shared" si="26"/>
        <v>1.3376560551668695</v>
      </c>
    </row>
    <row r="165" spans="1:21" x14ac:dyDescent="0.25">
      <c r="A165" s="18" t="s">
        <v>351</v>
      </c>
      <c r="B165" s="18" t="s">
        <v>352</v>
      </c>
      <c r="C165" s="18" t="s">
        <v>29</v>
      </c>
      <c r="D165" s="18" t="s">
        <v>22</v>
      </c>
      <c r="E165" s="18" t="s">
        <v>54</v>
      </c>
      <c r="F165" s="20">
        <v>27258387</v>
      </c>
      <c r="G165" s="20">
        <v>35634201</v>
      </c>
      <c r="H165" s="21">
        <v>157</v>
      </c>
      <c r="I165" s="22">
        <v>1.1004620318530163</v>
      </c>
      <c r="J165" s="23">
        <f t="shared" si="19"/>
        <v>172.77253900092356</v>
      </c>
      <c r="K165" s="21">
        <v>94.135270000000006</v>
      </c>
      <c r="L165" s="24">
        <f t="shared" si="20"/>
        <v>2089849.6763072985</v>
      </c>
      <c r="M165" s="36">
        <f t="shared" si="21"/>
        <v>2089849.6763072985</v>
      </c>
      <c r="N165" s="23">
        <v>5.8613944938892791E-2</v>
      </c>
      <c r="O165" s="24">
        <f t="shared" si="22"/>
        <v>361068634.70587021</v>
      </c>
      <c r="P165" s="36">
        <f t="shared" si="23"/>
        <v>361068634.70587021</v>
      </c>
      <c r="Q165" s="24">
        <v>227429658719.18033</v>
      </c>
      <c r="R165" s="24">
        <f t="shared" si="24"/>
        <v>3411444880787.7051</v>
      </c>
      <c r="S165" s="23">
        <f t="shared" si="18"/>
        <v>1.0584038356864766E-4</v>
      </c>
      <c r="T165" s="23">
        <f t="shared" si="25"/>
        <v>3.5280127856215891E-5</v>
      </c>
      <c r="U165" s="23">
        <f t="shared" si="26"/>
        <v>3.1752115070594303E-4</v>
      </c>
    </row>
    <row r="166" spans="1:21" x14ac:dyDescent="0.25">
      <c r="A166" s="18" t="s">
        <v>353</v>
      </c>
      <c r="B166" s="18" t="s">
        <v>354</v>
      </c>
      <c r="C166" s="18" t="s">
        <v>40</v>
      </c>
      <c r="D166" s="18" t="s">
        <v>32</v>
      </c>
      <c r="F166" s="20">
        <v>12950564</v>
      </c>
      <c r="G166" s="20">
        <v>21855703</v>
      </c>
      <c r="H166" s="21">
        <v>326.89002158513563</v>
      </c>
      <c r="I166" s="22">
        <v>1.1004620318530163</v>
      </c>
      <c r="J166" s="23">
        <f t="shared" si="19"/>
        <v>359.73005734605471</v>
      </c>
      <c r="K166" s="21">
        <v>56.5</v>
      </c>
      <c r="L166" s="24">
        <f t="shared" si="20"/>
        <v>9507230.8050000016</v>
      </c>
      <c r="M166" s="36">
        <f t="shared" si="21"/>
        <v>9507230.8050000016</v>
      </c>
      <c r="N166" s="23">
        <v>2.7075295212977562E-2</v>
      </c>
      <c r="O166" s="24">
        <f t="shared" si="22"/>
        <v>3420036682.6848283</v>
      </c>
      <c r="P166" s="36">
        <f t="shared" si="23"/>
        <v>3420036682.6848283</v>
      </c>
      <c r="Q166" s="24">
        <v>551591058.22012687</v>
      </c>
      <c r="R166" s="24">
        <f t="shared" si="24"/>
        <v>8273865873.3019028</v>
      </c>
      <c r="S166" s="23">
        <f t="shared" si="18"/>
        <v>0.41335413639234803</v>
      </c>
      <c r="T166" s="23">
        <f t="shared" si="25"/>
        <v>0.13778471213078267</v>
      </c>
      <c r="U166" s="23">
        <f t="shared" si="26"/>
        <v>1.240062409177044</v>
      </c>
    </row>
    <row r="167" spans="1:21" x14ac:dyDescent="0.25">
      <c r="A167" s="18" t="s">
        <v>355</v>
      </c>
      <c r="B167" s="18" t="s">
        <v>356</v>
      </c>
      <c r="C167" s="18" t="s">
        <v>18</v>
      </c>
      <c r="D167" s="18" t="s">
        <v>19</v>
      </c>
      <c r="F167" s="20">
        <v>7291436</v>
      </c>
      <c r="G167" s="20">
        <v>8582256</v>
      </c>
      <c r="H167" s="20" t="s">
        <v>232</v>
      </c>
      <c r="I167" s="22">
        <v>1.1004620318530163</v>
      </c>
      <c r="J167" s="23" t="e">
        <f t="shared" si="19"/>
        <v>#VALUE!</v>
      </c>
      <c r="K167" s="21">
        <v>100</v>
      </c>
      <c r="L167" s="24">
        <f t="shared" si="20"/>
        <v>0</v>
      </c>
      <c r="M167" s="36">
        <f t="shared" si="21"/>
        <v>0</v>
      </c>
      <c r="N167" s="23">
        <v>0</v>
      </c>
      <c r="O167" s="24" t="e">
        <f t="shared" si="22"/>
        <v>#VALUE!</v>
      </c>
      <c r="P167" s="36">
        <f t="shared" si="23"/>
        <v>0</v>
      </c>
      <c r="Q167" s="24">
        <v>1253506714.6213751</v>
      </c>
      <c r="R167" s="24">
        <f t="shared" si="24"/>
        <v>18802600719.320625</v>
      </c>
      <c r="S167" s="23" t="e">
        <f t="shared" si="18"/>
        <v>#VALUE!</v>
      </c>
      <c r="T167" s="23" t="e">
        <f t="shared" si="25"/>
        <v>#VALUE!</v>
      </c>
      <c r="U167" s="23" t="e">
        <f t="shared" si="26"/>
        <v>#VALUE!</v>
      </c>
    </row>
    <row r="168" spans="1:21" x14ac:dyDescent="0.25">
      <c r="A168" s="18" t="s">
        <v>357</v>
      </c>
      <c r="B168" s="18" t="s">
        <v>358</v>
      </c>
      <c r="C168" s="18" t="s">
        <v>18</v>
      </c>
      <c r="D168" s="18" t="s">
        <v>32</v>
      </c>
      <c r="F168" s="20">
        <v>89770</v>
      </c>
      <c r="G168" s="20">
        <v>98416</v>
      </c>
      <c r="H168" s="21">
        <v>326.89002158513563</v>
      </c>
      <c r="I168" s="22">
        <v>1.1004620318530163</v>
      </c>
      <c r="J168" s="23">
        <f t="shared" si="19"/>
        <v>359.73005734605471</v>
      </c>
      <c r="K168" s="21">
        <v>29.145389999999999</v>
      </c>
      <c r="L168" s="24">
        <f t="shared" si="20"/>
        <v>69732.272977599991</v>
      </c>
      <c r="M168" s="36">
        <f t="shared" si="21"/>
        <v>69732.272977599991</v>
      </c>
      <c r="N168" s="23">
        <v>2.7075295212977562E-2</v>
      </c>
      <c r="O168" s="24">
        <f t="shared" si="22"/>
        <v>25084794.557102785</v>
      </c>
      <c r="P168" s="36">
        <f t="shared" si="23"/>
        <v>25084794.557102785</v>
      </c>
      <c r="Q168" s="24">
        <v>1160995.7542812461</v>
      </c>
      <c r="R168" s="24">
        <f t="shared" si="24"/>
        <v>17414936.314218692</v>
      </c>
      <c r="S168" s="23">
        <f t="shared" si="18"/>
        <v>1.4404183916895474</v>
      </c>
      <c r="T168" s="23">
        <f t="shared" si="25"/>
        <v>0.48013946389651579</v>
      </c>
      <c r="U168" s="23">
        <f t="shared" si="26"/>
        <v>4.3212551750686421</v>
      </c>
    </row>
    <row r="169" spans="1:21" x14ac:dyDescent="0.25">
      <c r="A169" s="18" t="s">
        <v>359</v>
      </c>
      <c r="B169" s="18" t="s">
        <v>360</v>
      </c>
      <c r="C169" s="18" t="s">
        <v>14</v>
      </c>
      <c r="D169" s="18" t="s">
        <v>32</v>
      </c>
      <c r="F169" s="20">
        <v>5751976</v>
      </c>
      <c r="G169" s="20">
        <v>8057580</v>
      </c>
      <c r="H169" s="21">
        <v>326.89002158513563</v>
      </c>
      <c r="I169" s="22">
        <v>1.1004620318530163</v>
      </c>
      <c r="J169" s="23">
        <f t="shared" si="19"/>
        <v>359.73005734605471</v>
      </c>
      <c r="K169" s="21">
        <v>12.1</v>
      </c>
      <c r="L169" s="24">
        <f t="shared" si="20"/>
        <v>7082612.8200000003</v>
      </c>
      <c r="M169" s="36">
        <f t="shared" si="21"/>
        <v>7082612.8200000003</v>
      </c>
      <c r="N169" s="23">
        <v>2.7075295212977562E-2</v>
      </c>
      <c r="O169" s="24">
        <f t="shared" si="22"/>
        <v>2547828715.8985023</v>
      </c>
      <c r="P169" s="36">
        <f t="shared" si="23"/>
        <v>2547828715.8985023</v>
      </c>
      <c r="Q169" s="24">
        <v>309951994.2008189</v>
      </c>
      <c r="R169" s="24">
        <f t="shared" si="24"/>
        <v>4649279913.0122833</v>
      </c>
      <c r="S169" s="23">
        <f t="shared" si="18"/>
        <v>0.54800501659788348</v>
      </c>
      <c r="T169" s="23">
        <f t="shared" si="25"/>
        <v>0.18266833886596115</v>
      </c>
      <c r="U169" s="23">
        <f t="shared" si="26"/>
        <v>1.6440150497936503</v>
      </c>
    </row>
    <row r="170" spans="1:21" s="31" customFormat="1" x14ac:dyDescent="0.25">
      <c r="A170" s="25" t="s">
        <v>361</v>
      </c>
      <c r="B170" s="25" t="s">
        <v>362</v>
      </c>
      <c r="C170" s="25" t="s">
        <v>29</v>
      </c>
      <c r="D170" s="25" t="s">
        <v>26</v>
      </c>
      <c r="F170" s="26">
        <v>5076700</v>
      </c>
      <c r="G170" s="26">
        <v>6577884</v>
      </c>
      <c r="H170" s="27">
        <v>157</v>
      </c>
      <c r="I170" s="28">
        <v>1.1004620318530163</v>
      </c>
      <c r="J170" s="29">
        <f t="shared" si="19"/>
        <v>172.77253900092356</v>
      </c>
      <c r="K170" s="27">
        <v>72.598820000000003</v>
      </c>
      <c r="L170" s="24">
        <f t="shared" si="20"/>
        <v>1802417.8350311995</v>
      </c>
      <c r="M170" s="36">
        <f t="shared" si="21"/>
        <v>1802417.8350311995</v>
      </c>
      <c r="N170" s="29">
        <v>0.11040303634246594</v>
      </c>
      <c r="O170" s="24">
        <f t="shared" si="22"/>
        <v>311408305.69888812</v>
      </c>
      <c r="P170" s="36">
        <f t="shared" si="23"/>
        <v>311408305.69888812</v>
      </c>
      <c r="Q170" s="30">
        <v>0</v>
      </c>
      <c r="R170" s="24">
        <f t="shared" si="24"/>
        <v>0</v>
      </c>
      <c r="S170" s="23" t="e">
        <f t="shared" si="18"/>
        <v>#DIV/0!</v>
      </c>
      <c r="T170" s="23" t="e">
        <f t="shared" si="25"/>
        <v>#DIV/0!</v>
      </c>
      <c r="U170" s="23" t="e">
        <f t="shared" si="26"/>
        <v>#DIV/0!</v>
      </c>
    </row>
    <row r="171" spans="1:21" x14ac:dyDescent="0.25">
      <c r="A171" s="18" t="s">
        <v>363</v>
      </c>
      <c r="B171" s="18" t="s">
        <v>364</v>
      </c>
      <c r="C171" s="18" t="s">
        <v>29</v>
      </c>
      <c r="D171" s="18" t="s">
        <v>35</v>
      </c>
      <c r="E171" s="18"/>
      <c r="F171" s="20">
        <v>37850</v>
      </c>
      <c r="G171" s="20">
        <v>56791</v>
      </c>
      <c r="H171" s="21">
        <v>326.89002158513563</v>
      </c>
      <c r="I171" s="22">
        <v>1.1004620318530163</v>
      </c>
      <c r="J171" s="23">
        <f t="shared" si="19"/>
        <v>359.73005734605471</v>
      </c>
      <c r="K171" s="21" t="s">
        <v>232</v>
      </c>
      <c r="L171" s="24" t="e">
        <f t="shared" si="20"/>
        <v>#VALUE!</v>
      </c>
      <c r="M171" s="36">
        <f t="shared" si="21"/>
        <v>0</v>
      </c>
      <c r="N171" s="23">
        <v>2.7075295212977562E-2</v>
      </c>
      <c r="O171" s="24" t="e">
        <f t="shared" si="22"/>
        <v>#VALUE!</v>
      </c>
      <c r="P171" s="36">
        <f t="shared" si="23"/>
        <v>0</v>
      </c>
      <c r="Q171" s="24" t="s">
        <v>232</v>
      </c>
      <c r="R171" s="24" t="e">
        <f t="shared" si="24"/>
        <v>#VALUE!</v>
      </c>
      <c r="S171" s="23" t="e">
        <f t="shared" si="18"/>
        <v>#VALUE!</v>
      </c>
      <c r="T171" s="23" t="e">
        <f t="shared" si="25"/>
        <v>#VALUE!</v>
      </c>
      <c r="U171" s="23" t="e">
        <f t="shared" si="26"/>
        <v>#VALUE!</v>
      </c>
    </row>
    <row r="172" spans="1:21" x14ac:dyDescent="0.25">
      <c r="A172" s="18" t="s">
        <v>365</v>
      </c>
      <c r="B172" s="18" t="s">
        <v>366</v>
      </c>
      <c r="C172" s="18" t="s">
        <v>45</v>
      </c>
      <c r="D172" s="18" t="s">
        <v>19</v>
      </c>
      <c r="F172" s="20">
        <v>5391428</v>
      </c>
      <c r="G172" s="24">
        <v>5395535</v>
      </c>
      <c r="H172" s="20" t="s">
        <v>232</v>
      </c>
      <c r="I172" s="22">
        <v>1.1004620318530163</v>
      </c>
      <c r="J172" s="23" t="e">
        <f t="shared" si="19"/>
        <v>#VALUE!</v>
      </c>
      <c r="K172" s="21">
        <v>100</v>
      </c>
      <c r="L172" s="24">
        <f t="shared" si="20"/>
        <v>0</v>
      </c>
      <c r="M172" s="36">
        <f t="shared" si="21"/>
        <v>0</v>
      </c>
      <c r="N172" s="23">
        <v>0</v>
      </c>
      <c r="O172" s="24" t="e">
        <f t="shared" si="22"/>
        <v>#VALUE!</v>
      </c>
      <c r="P172" s="36">
        <f t="shared" si="23"/>
        <v>0</v>
      </c>
      <c r="Q172" s="24">
        <v>586207377.22308779</v>
      </c>
      <c r="R172" s="24">
        <f t="shared" si="24"/>
        <v>8793110658.3463173</v>
      </c>
      <c r="S172" s="23" t="e">
        <f t="shared" si="18"/>
        <v>#VALUE!</v>
      </c>
      <c r="T172" s="23" t="e">
        <f t="shared" si="25"/>
        <v>#VALUE!</v>
      </c>
      <c r="U172" s="23" t="e">
        <f t="shared" si="26"/>
        <v>#VALUE!</v>
      </c>
    </row>
    <row r="173" spans="1:21" x14ac:dyDescent="0.25">
      <c r="A173" s="18" t="s">
        <v>367</v>
      </c>
      <c r="B173" s="18" t="s">
        <v>368</v>
      </c>
      <c r="C173" s="18" t="s">
        <v>45</v>
      </c>
      <c r="D173" s="18" t="s">
        <v>19</v>
      </c>
      <c r="F173" s="20">
        <v>2048583</v>
      </c>
      <c r="G173" s="20">
        <v>2086065.9999999998</v>
      </c>
      <c r="H173" s="20" t="s">
        <v>232</v>
      </c>
      <c r="I173" s="22">
        <v>1.1004620318530163</v>
      </c>
      <c r="J173" s="23" t="e">
        <f t="shared" si="19"/>
        <v>#VALUE!</v>
      </c>
      <c r="K173" s="21">
        <v>100</v>
      </c>
      <c r="L173" s="24">
        <f t="shared" si="20"/>
        <v>0</v>
      </c>
      <c r="M173" s="36">
        <f t="shared" si="21"/>
        <v>0</v>
      </c>
      <c r="N173" s="23">
        <v>0</v>
      </c>
      <c r="O173" s="24" t="e">
        <f t="shared" si="22"/>
        <v>#VALUE!</v>
      </c>
      <c r="P173" s="36">
        <f t="shared" si="23"/>
        <v>0</v>
      </c>
      <c r="Q173" s="24">
        <v>179102965.90790325</v>
      </c>
      <c r="R173" s="24">
        <f t="shared" si="24"/>
        <v>2686544488.6185489</v>
      </c>
      <c r="S173" s="23" t="e">
        <f t="shared" si="18"/>
        <v>#VALUE!</v>
      </c>
      <c r="T173" s="23" t="e">
        <f t="shared" si="25"/>
        <v>#VALUE!</v>
      </c>
      <c r="U173" s="23" t="e">
        <f t="shared" si="26"/>
        <v>#VALUE!</v>
      </c>
    </row>
    <row r="174" spans="1:21" x14ac:dyDescent="0.25">
      <c r="A174" s="18" t="s">
        <v>369</v>
      </c>
      <c r="B174" s="18" t="s">
        <v>370</v>
      </c>
      <c r="C174" s="18" t="s">
        <v>40</v>
      </c>
      <c r="D174" s="18" t="s">
        <v>26</v>
      </c>
      <c r="F174" s="20">
        <v>526447</v>
      </c>
      <c r="G174" s="20">
        <v>764146</v>
      </c>
      <c r="H174" s="21">
        <v>157</v>
      </c>
      <c r="I174" s="22">
        <v>1.1004620318530163</v>
      </c>
      <c r="J174" s="23">
        <f t="shared" si="19"/>
        <v>172.77253900092356</v>
      </c>
      <c r="K174" s="21">
        <v>19.244150000000001</v>
      </c>
      <c r="L174" s="24">
        <f t="shared" si="20"/>
        <v>617092.597541</v>
      </c>
      <c r="M174" s="36">
        <f t="shared" si="21"/>
        <v>617092.597541</v>
      </c>
      <c r="N174" s="23">
        <v>0.11040303634246594</v>
      </c>
      <c r="O174" s="24">
        <f t="shared" si="22"/>
        <v>106616654.87583365</v>
      </c>
      <c r="P174" s="36">
        <f t="shared" si="23"/>
        <v>106616654.87583365</v>
      </c>
      <c r="Q174" s="24">
        <v>177911447.47763148</v>
      </c>
      <c r="R174" s="24">
        <f t="shared" si="24"/>
        <v>2668671712.1644721</v>
      </c>
      <c r="S174" s="23">
        <f t="shared" si="18"/>
        <v>3.9951206583353174E-2</v>
      </c>
      <c r="T174" s="23">
        <f t="shared" si="25"/>
        <v>1.3317068861117725E-2</v>
      </c>
      <c r="U174" s="23">
        <f t="shared" si="26"/>
        <v>0.11985361975005952</v>
      </c>
    </row>
    <row r="175" spans="1:21" x14ac:dyDescent="0.25">
      <c r="A175" s="18" t="s">
        <v>371</v>
      </c>
      <c r="B175" s="18" t="s">
        <v>372</v>
      </c>
      <c r="C175" s="18" t="s">
        <v>14</v>
      </c>
      <c r="D175" s="18" t="s">
        <v>32</v>
      </c>
      <c r="F175" s="20">
        <v>9636173</v>
      </c>
      <c r="G175" s="20">
        <v>16880129</v>
      </c>
      <c r="H175" s="21">
        <v>326.89002158513563</v>
      </c>
      <c r="I175" s="22">
        <v>1.1004620318530163</v>
      </c>
      <c r="J175" s="23">
        <f t="shared" si="19"/>
        <v>359.73005734605471</v>
      </c>
      <c r="K175" s="21">
        <v>29.145389999999999</v>
      </c>
      <c r="L175" s="24">
        <f t="shared" si="20"/>
        <v>11960349.570446899</v>
      </c>
      <c r="M175" s="36">
        <f t="shared" si="21"/>
        <v>11960349.570446899</v>
      </c>
      <c r="N175" s="23">
        <v>2.7075295212977562E-2</v>
      </c>
      <c r="O175" s="24">
        <f t="shared" si="22"/>
        <v>4302497236.8557234</v>
      </c>
      <c r="P175" s="36">
        <f t="shared" si="23"/>
        <v>4302497236.8557234</v>
      </c>
      <c r="Q175" s="24" t="s">
        <v>232</v>
      </c>
      <c r="R175" s="24" t="e">
        <f t="shared" si="24"/>
        <v>#VALUE!</v>
      </c>
      <c r="S175" s="23" t="e">
        <f t="shared" si="18"/>
        <v>#VALUE!</v>
      </c>
      <c r="T175" s="23" t="e">
        <f t="shared" si="25"/>
        <v>#VALUE!</v>
      </c>
      <c r="U175" s="23" t="e">
        <f t="shared" si="26"/>
        <v>#VALUE!</v>
      </c>
    </row>
    <row r="176" spans="1:21" x14ac:dyDescent="0.25">
      <c r="A176" s="18" t="s">
        <v>373</v>
      </c>
      <c r="B176" s="18" t="s">
        <v>374</v>
      </c>
      <c r="C176" s="18" t="s">
        <v>18</v>
      </c>
      <c r="D176" s="18" t="s">
        <v>32</v>
      </c>
      <c r="F176" s="20">
        <v>50895698</v>
      </c>
      <c r="G176" s="20">
        <v>58095501</v>
      </c>
      <c r="H176" s="21">
        <v>326.89002158513563</v>
      </c>
      <c r="I176" s="22">
        <v>1.1004620318530163</v>
      </c>
      <c r="J176" s="23">
        <f t="shared" si="19"/>
        <v>359.73005734605471</v>
      </c>
      <c r="K176" s="21">
        <v>82.7</v>
      </c>
      <c r="L176" s="24">
        <f t="shared" si="20"/>
        <v>10050521.672999997</v>
      </c>
      <c r="M176" s="36">
        <f t="shared" si="21"/>
        <v>10050521.672999997</v>
      </c>
      <c r="N176" s="23">
        <v>2.7075295212977562E-2</v>
      </c>
      <c r="O176" s="24">
        <f t="shared" si="22"/>
        <v>3615474737.7860546</v>
      </c>
      <c r="P176" s="36">
        <f t="shared" si="23"/>
        <v>3615474737.7860546</v>
      </c>
      <c r="Q176" s="24">
        <v>29273625097.571095</v>
      </c>
      <c r="R176" s="24">
        <f t="shared" si="24"/>
        <v>439104376463.56641</v>
      </c>
      <c r="S176" s="23">
        <f t="shared" si="18"/>
        <v>8.2337479004517267E-3</v>
      </c>
      <c r="T176" s="23">
        <f t="shared" si="25"/>
        <v>2.7445826334839092E-3</v>
      </c>
      <c r="U176" s="23">
        <f t="shared" si="26"/>
        <v>2.470124370135518E-2</v>
      </c>
    </row>
    <row r="177" spans="1:21" s="31" customFormat="1" x14ac:dyDescent="0.25">
      <c r="A177" s="25" t="s">
        <v>375</v>
      </c>
      <c r="B177" s="25" t="s">
        <v>376</v>
      </c>
      <c r="C177" s="25" t="s">
        <v>14</v>
      </c>
      <c r="D177" s="25" t="s">
        <v>32</v>
      </c>
      <c r="F177" s="26">
        <v>9940929</v>
      </c>
      <c r="G177" s="26">
        <v>17296842</v>
      </c>
      <c r="H177" s="27">
        <v>326.89002158513563</v>
      </c>
      <c r="I177" s="28">
        <v>1.1004620318530163</v>
      </c>
      <c r="J177" s="29">
        <f t="shared" si="19"/>
        <v>359.73005734605471</v>
      </c>
      <c r="K177" s="27">
        <v>1.5</v>
      </c>
      <c r="L177" s="24">
        <f t="shared" si="20"/>
        <v>17037389.370000001</v>
      </c>
      <c r="M177" s="36">
        <f t="shared" si="21"/>
        <v>17037389.370000001</v>
      </c>
      <c r="N177" s="29">
        <v>2.7075295212977562E-2</v>
      </c>
      <c r="O177" s="24">
        <f t="shared" si="22"/>
        <v>6128861055.0971632</v>
      </c>
      <c r="P177" s="36">
        <f t="shared" si="23"/>
        <v>6128861055.0971632</v>
      </c>
      <c r="Q177" s="30">
        <v>0</v>
      </c>
      <c r="R177" s="24">
        <f t="shared" si="24"/>
        <v>0</v>
      </c>
      <c r="S177" s="23" t="e">
        <f t="shared" si="18"/>
        <v>#DIV/0!</v>
      </c>
      <c r="T177" s="23" t="e">
        <f t="shared" si="25"/>
        <v>#DIV/0!</v>
      </c>
      <c r="U177" s="23" t="e">
        <f t="shared" si="26"/>
        <v>#DIV/0!</v>
      </c>
    </row>
    <row r="178" spans="1:21" x14ac:dyDescent="0.25">
      <c r="A178" s="18" t="s">
        <v>377</v>
      </c>
      <c r="B178" s="18" t="s">
        <v>378</v>
      </c>
      <c r="C178" s="18" t="s">
        <v>45</v>
      </c>
      <c r="D178" s="18" t="s">
        <v>19</v>
      </c>
      <c r="F178" s="20">
        <v>46576897</v>
      </c>
      <c r="G178" s="20">
        <v>48235492</v>
      </c>
      <c r="H178" s="20" t="s">
        <v>232</v>
      </c>
      <c r="I178" s="22">
        <v>1.1004620318530163</v>
      </c>
      <c r="J178" s="23" t="e">
        <f t="shared" si="19"/>
        <v>#VALUE!</v>
      </c>
      <c r="K178" s="21">
        <v>100</v>
      </c>
      <c r="L178" s="24">
        <f t="shared" si="20"/>
        <v>0</v>
      </c>
      <c r="M178" s="36">
        <f t="shared" si="21"/>
        <v>0</v>
      </c>
      <c r="N178" s="23">
        <v>0</v>
      </c>
      <c r="O178" s="24" t="e">
        <f t="shared" si="22"/>
        <v>#VALUE!</v>
      </c>
      <c r="P178" s="36">
        <f t="shared" si="23"/>
        <v>0</v>
      </c>
      <c r="Q178" s="24">
        <v>2120296778.8542163</v>
      </c>
      <c r="R178" s="24">
        <f t="shared" si="24"/>
        <v>31804451682.813244</v>
      </c>
      <c r="S178" s="23" t="e">
        <f t="shared" si="18"/>
        <v>#VALUE!</v>
      </c>
      <c r="T178" s="23" t="e">
        <f t="shared" si="25"/>
        <v>#VALUE!</v>
      </c>
      <c r="U178" s="23" t="e">
        <f t="shared" si="26"/>
        <v>#VALUE!</v>
      </c>
    </row>
    <row r="179" spans="1:21" x14ac:dyDescent="0.25">
      <c r="A179" s="18" t="s">
        <v>379</v>
      </c>
      <c r="B179" s="18" t="s">
        <v>380</v>
      </c>
      <c r="C179" s="18" t="s">
        <v>40</v>
      </c>
      <c r="D179" s="18" t="s">
        <v>15</v>
      </c>
      <c r="F179" s="20">
        <v>20653000</v>
      </c>
      <c r="G179" s="20">
        <v>23271183</v>
      </c>
      <c r="H179" s="21">
        <v>64</v>
      </c>
      <c r="I179" s="22">
        <v>1.1004620318530163</v>
      </c>
      <c r="J179" s="23">
        <f t="shared" si="19"/>
        <v>70.429570038593042</v>
      </c>
      <c r="K179" s="21">
        <v>85.1</v>
      </c>
      <c r="L179" s="24">
        <f t="shared" si="20"/>
        <v>3467406.2670000005</v>
      </c>
      <c r="M179" s="36">
        <f t="shared" si="21"/>
        <v>3467406.2670000005</v>
      </c>
      <c r="N179" s="23">
        <v>5.8613944938892791E-2</v>
      </c>
      <c r="O179" s="24">
        <f t="shared" si="22"/>
        <v>244207932.53393298</v>
      </c>
      <c r="P179" s="36">
        <f t="shared" si="23"/>
        <v>244207932.53393298</v>
      </c>
      <c r="Q179" s="24">
        <v>464220477.24420649</v>
      </c>
      <c r="R179" s="24">
        <f t="shared" si="24"/>
        <v>6963307158.6630974</v>
      </c>
      <c r="S179" s="23">
        <f t="shared" si="18"/>
        <v>3.5070682216008849E-2</v>
      </c>
      <c r="T179" s="23">
        <f t="shared" si="25"/>
        <v>1.1690227405336283E-2</v>
      </c>
      <c r="U179" s="23">
        <f t="shared" si="26"/>
        <v>0.10521204664802655</v>
      </c>
    </row>
    <row r="180" spans="1:21" s="31" customFormat="1" x14ac:dyDescent="0.25">
      <c r="A180" s="25" t="s">
        <v>381</v>
      </c>
      <c r="B180" s="25" t="s">
        <v>382</v>
      </c>
      <c r="C180" s="25" t="s">
        <v>29</v>
      </c>
      <c r="D180" s="25" t="s">
        <v>35</v>
      </c>
      <c r="E180" s="25"/>
      <c r="F180" s="26">
        <v>52352</v>
      </c>
      <c r="G180" s="30">
        <v>62581</v>
      </c>
      <c r="H180" s="27">
        <v>326.89002158513563</v>
      </c>
      <c r="I180" s="28">
        <v>1.1004620318530163</v>
      </c>
      <c r="J180" s="29">
        <f t="shared" si="19"/>
        <v>359.73005734605471</v>
      </c>
      <c r="K180" s="27">
        <v>88.229380000000006</v>
      </c>
      <c r="L180" s="24">
        <f t="shared" si="20"/>
        <v>7366.1717021999993</v>
      </c>
      <c r="M180" s="36">
        <f t="shared" si="21"/>
        <v>7366.1717021999993</v>
      </c>
      <c r="N180" s="29">
        <v>2.7075295212977562E-2</v>
      </c>
      <c r="O180" s="24">
        <f t="shared" si="22"/>
        <v>2649833.368853291</v>
      </c>
      <c r="P180" s="36">
        <f t="shared" si="23"/>
        <v>2649833.368853291</v>
      </c>
      <c r="Q180" s="30">
        <v>0</v>
      </c>
      <c r="R180" s="24">
        <f t="shared" si="24"/>
        <v>0</v>
      </c>
      <c r="S180" s="23" t="e">
        <f t="shared" si="18"/>
        <v>#DIV/0!</v>
      </c>
      <c r="T180" s="23" t="e">
        <f t="shared" si="25"/>
        <v>#DIV/0!</v>
      </c>
      <c r="U180" s="23" t="e">
        <f t="shared" si="26"/>
        <v>#DIV/0!</v>
      </c>
    </row>
    <row r="181" spans="1:21" x14ac:dyDescent="0.25">
      <c r="A181" s="18" t="s">
        <v>383</v>
      </c>
      <c r="B181" s="18" t="s">
        <v>384</v>
      </c>
      <c r="C181" s="18" t="s">
        <v>18</v>
      </c>
      <c r="D181" s="18" t="s">
        <v>35</v>
      </c>
      <c r="E181" s="18"/>
      <c r="F181" s="20">
        <v>177397</v>
      </c>
      <c r="G181" s="24">
        <v>201817</v>
      </c>
      <c r="H181" s="21">
        <v>326.89002158513563</v>
      </c>
      <c r="I181" s="22">
        <v>1.1004620318530163</v>
      </c>
      <c r="J181" s="23">
        <f t="shared" si="19"/>
        <v>359.73005734605471</v>
      </c>
      <c r="K181" s="21">
        <v>88.229380000000006</v>
      </c>
      <c r="L181" s="24">
        <f t="shared" si="20"/>
        <v>23755.112165399998</v>
      </c>
      <c r="M181" s="36">
        <f t="shared" si="21"/>
        <v>23755.112165399998</v>
      </c>
      <c r="N181" s="23">
        <v>2.7075295212977562E-2</v>
      </c>
      <c r="O181" s="24">
        <f t="shared" si="22"/>
        <v>8545427.8615213037</v>
      </c>
      <c r="P181" s="36">
        <f t="shared" si="23"/>
        <v>8545427.8615213037</v>
      </c>
      <c r="Q181" s="24">
        <v>643469.71291057637</v>
      </c>
      <c r="R181" s="24">
        <f t="shared" si="24"/>
        <v>9652045.6936586462</v>
      </c>
      <c r="S181" s="23">
        <f t="shared" si="18"/>
        <v>0.88534888175421855</v>
      </c>
      <c r="T181" s="23">
        <f t="shared" si="25"/>
        <v>0.29511629391807287</v>
      </c>
      <c r="U181" s="23">
        <f t="shared" si="26"/>
        <v>2.6560466452626557</v>
      </c>
    </row>
    <row r="182" spans="1:21" x14ac:dyDescent="0.25">
      <c r="A182" s="18" t="s">
        <v>385</v>
      </c>
      <c r="B182" s="18" t="s">
        <v>386</v>
      </c>
      <c r="C182" s="18" t="s">
        <v>29</v>
      </c>
      <c r="D182" s="18" t="s">
        <v>35</v>
      </c>
      <c r="E182" s="18"/>
      <c r="F182" s="20">
        <v>30235</v>
      </c>
      <c r="G182" s="20" t="s">
        <v>232</v>
      </c>
      <c r="H182" s="21">
        <v>326.89002158513563</v>
      </c>
      <c r="I182" s="22">
        <v>1.1004620318530163</v>
      </c>
      <c r="J182" s="23">
        <f t="shared" si="19"/>
        <v>359.73005734605471</v>
      </c>
      <c r="K182" s="21">
        <v>88.229380000000006</v>
      </c>
      <c r="L182" s="24" t="e">
        <f t="shared" si="20"/>
        <v>#VALUE!</v>
      </c>
      <c r="M182" s="36">
        <f t="shared" si="21"/>
        <v>0</v>
      </c>
      <c r="N182" s="23">
        <v>2.7075295212977562E-2</v>
      </c>
      <c r="O182" s="24" t="e">
        <f t="shared" si="22"/>
        <v>#VALUE!</v>
      </c>
      <c r="P182" s="36">
        <f t="shared" si="23"/>
        <v>0</v>
      </c>
      <c r="Q182" s="24" t="s">
        <v>232</v>
      </c>
      <c r="R182" s="24" t="e">
        <f t="shared" si="24"/>
        <v>#VALUE!</v>
      </c>
      <c r="S182" s="23" t="e">
        <f t="shared" si="18"/>
        <v>#VALUE!</v>
      </c>
      <c r="T182" s="23" t="e">
        <f t="shared" si="25"/>
        <v>#VALUE!</v>
      </c>
      <c r="U182" s="23" t="e">
        <f t="shared" si="26"/>
        <v>#VALUE!</v>
      </c>
    </row>
    <row r="183" spans="1:21" x14ac:dyDescent="0.25">
      <c r="A183" s="18" t="s">
        <v>387</v>
      </c>
      <c r="B183" s="18" t="s">
        <v>388</v>
      </c>
      <c r="C183" s="18" t="s">
        <v>18</v>
      </c>
      <c r="D183" s="18" t="s">
        <v>35</v>
      </c>
      <c r="E183" s="18"/>
      <c r="F183" s="20">
        <v>109316</v>
      </c>
      <c r="G183" s="24">
        <v>110012</v>
      </c>
      <c r="H183" s="21">
        <v>326.89002158513563</v>
      </c>
      <c r="I183" s="22">
        <v>1.1004620318530163</v>
      </c>
      <c r="J183" s="23">
        <f t="shared" si="19"/>
        <v>359.73005734605471</v>
      </c>
      <c r="K183" s="21">
        <v>73.184340000000006</v>
      </c>
      <c r="L183" s="24">
        <f t="shared" si="20"/>
        <v>29500.443879199996</v>
      </c>
      <c r="M183" s="36">
        <f t="shared" si="21"/>
        <v>29500.443879199996</v>
      </c>
      <c r="N183" s="23">
        <v>2.7075295212977562E-2</v>
      </c>
      <c r="O183" s="24">
        <f t="shared" si="22"/>
        <v>10612196.368398683</v>
      </c>
      <c r="P183" s="36">
        <f t="shared" si="23"/>
        <v>10612196.368398683</v>
      </c>
      <c r="Q183" s="24">
        <v>486293.25308693683</v>
      </c>
      <c r="R183" s="24">
        <f t="shared" si="24"/>
        <v>7294398.7963040527</v>
      </c>
      <c r="S183" s="23">
        <f t="shared" si="18"/>
        <v>1.4548418128407925</v>
      </c>
      <c r="T183" s="23">
        <f t="shared" si="25"/>
        <v>0.48494727094693091</v>
      </c>
      <c r="U183" s="23">
        <f t="shared" si="26"/>
        <v>4.364525438522378</v>
      </c>
    </row>
    <row r="184" spans="1:21" x14ac:dyDescent="0.25">
      <c r="A184" s="18" t="s">
        <v>389</v>
      </c>
      <c r="B184" s="18" t="s">
        <v>390</v>
      </c>
      <c r="C184" s="18" t="s">
        <v>40</v>
      </c>
      <c r="D184" s="18" t="s">
        <v>32</v>
      </c>
      <c r="F184" s="20">
        <v>35652002</v>
      </c>
      <c r="G184" s="20">
        <v>55077835</v>
      </c>
      <c r="H184" s="21">
        <v>326.89002158513563</v>
      </c>
      <c r="I184" s="22">
        <v>1.1004620318530163</v>
      </c>
      <c r="J184" s="23">
        <f t="shared" si="19"/>
        <v>359.73005734605471</v>
      </c>
      <c r="K184" s="21">
        <v>29</v>
      </c>
      <c r="L184" s="24">
        <f t="shared" si="20"/>
        <v>39105262.850000001</v>
      </c>
      <c r="M184" s="36">
        <f t="shared" si="21"/>
        <v>39105262.850000001</v>
      </c>
      <c r="N184" s="23">
        <v>2.7075295212977562E-2</v>
      </c>
      <c r="O184" s="24">
        <f t="shared" si="22"/>
        <v>14067338447.563044</v>
      </c>
      <c r="P184" s="36">
        <f t="shared" si="23"/>
        <v>14067338447.563044</v>
      </c>
      <c r="Q184" s="24">
        <v>11997149674.977474</v>
      </c>
      <c r="R184" s="24">
        <f t="shared" si="24"/>
        <v>179957245124.66211</v>
      </c>
      <c r="S184" s="23">
        <f t="shared" si="18"/>
        <v>7.8170447862869599E-2</v>
      </c>
      <c r="T184" s="23">
        <f t="shared" si="25"/>
        <v>2.6056815954289866E-2</v>
      </c>
      <c r="U184" s="23">
        <f t="shared" si="26"/>
        <v>0.23451134358860881</v>
      </c>
    </row>
    <row r="185" spans="1:21" x14ac:dyDescent="0.25">
      <c r="A185" s="18" t="s">
        <v>391</v>
      </c>
      <c r="B185" s="18" t="s">
        <v>392</v>
      </c>
      <c r="C185" s="18" t="s">
        <v>18</v>
      </c>
      <c r="D185" s="18" t="s">
        <v>35</v>
      </c>
      <c r="E185" s="18"/>
      <c r="F185" s="20">
        <v>524960</v>
      </c>
      <c r="G185" s="20">
        <v>603805</v>
      </c>
      <c r="H185" s="21">
        <v>326.89002158513563</v>
      </c>
      <c r="I185" s="22">
        <v>1.1004620318530163</v>
      </c>
      <c r="J185" s="23">
        <f t="shared" si="19"/>
        <v>359.73005734605471</v>
      </c>
      <c r="K185" s="21">
        <v>100</v>
      </c>
      <c r="L185" s="24">
        <f t="shared" si="20"/>
        <v>0</v>
      </c>
      <c r="M185" s="36">
        <f t="shared" si="21"/>
        <v>0</v>
      </c>
      <c r="N185" s="23">
        <v>2.7075295212977562E-2</v>
      </c>
      <c r="O185" s="24">
        <f t="shared" si="22"/>
        <v>0</v>
      </c>
      <c r="P185" s="36">
        <f t="shared" si="23"/>
        <v>0</v>
      </c>
      <c r="Q185" s="24">
        <v>608902361.97083366</v>
      </c>
      <c r="R185" s="24">
        <f t="shared" si="24"/>
        <v>9133535429.5625057</v>
      </c>
      <c r="S185" s="23">
        <f t="shared" si="18"/>
        <v>0</v>
      </c>
      <c r="T185" s="23">
        <f t="shared" si="25"/>
        <v>0</v>
      </c>
      <c r="U185" s="23">
        <f t="shared" si="26"/>
        <v>0</v>
      </c>
    </row>
    <row r="186" spans="1:21" x14ac:dyDescent="0.25">
      <c r="A186" s="18" t="s">
        <v>393</v>
      </c>
      <c r="B186" s="18" t="s">
        <v>394</v>
      </c>
      <c r="C186" s="18" t="s">
        <v>40</v>
      </c>
      <c r="D186" s="18" t="s">
        <v>32</v>
      </c>
      <c r="F186" s="20">
        <v>1193148</v>
      </c>
      <c r="G186" s="20">
        <v>1515527</v>
      </c>
      <c r="H186" s="21">
        <v>326.89002158513563</v>
      </c>
      <c r="I186" s="22">
        <v>1.1004620318530163</v>
      </c>
      <c r="J186" s="23">
        <f t="shared" si="19"/>
        <v>359.73005734605471</v>
      </c>
      <c r="K186" s="21">
        <v>35.200000000000003</v>
      </c>
      <c r="L186" s="24">
        <f t="shared" si="20"/>
        <v>982061.49599999981</v>
      </c>
      <c r="M186" s="36">
        <f t="shared" si="21"/>
        <v>982061.49599999981</v>
      </c>
      <c r="N186" s="23">
        <v>2.7075295212977562E-2</v>
      </c>
      <c r="O186" s="24">
        <f t="shared" si="22"/>
        <v>353277038.2734322</v>
      </c>
      <c r="P186" s="36">
        <f t="shared" si="23"/>
        <v>353277038.2734322</v>
      </c>
      <c r="Q186" s="24">
        <v>92945139.393425897</v>
      </c>
      <c r="R186" s="24">
        <f t="shared" si="24"/>
        <v>1394177090.9013884</v>
      </c>
      <c r="S186" s="23">
        <f t="shared" si="18"/>
        <v>0.2533946659853844</v>
      </c>
      <c r="T186" s="23">
        <f t="shared" si="25"/>
        <v>8.4464888661794787E-2</v>
      </c>
      <c r="U186" s="23">
        <f t="shared" si="26"/>
        <v>0.7601839979561531</v>
      </c>
    </row>
    <row r="187" spans="1:21" x14ac:dyDescent="0.25">
      <c r="A187" s="18" t="s">
        <v>395</v>
      </c>
      <c r="B187" s="18" t="s">
        <v>396</v>
      </c>
      <c r="C187" s="18" t="s">
        <v>45</v>
      </c>
      <c r="D187" s="18" t="s">
        <v>19</v>
      </c>
      <c r="F187" s="20">
        <v>9378126</v>
      </c>
      <c r="G187" s="20">
        <v>10690986</v>
      </c>
      <c r="H187" s="20" t="s">
        <v>232</v>
      </c>
      <c r="I187" s="22">
        <v>1.1004620318530163</v>
      </c>
      <c r="J187" s="23" t="e">
        <f t="shared" si="19"/>
        <v>#VALUE!</v>
      </c>
      <c r="K187" s="21">
        <v>100</v>
      </c>
      <c r="L187" s="24">
        <f t="shared" si="20"/>
        <v>0</v>
      </c>
      <c r="M187" s="36">
        <f t="shared" si="21"/>
        <v>0</v>
      </c>
      <c r="N187" s="23">
        <v>0</v>
      </c>
      <c r="O187" s="24" t="e">
        <f t="shared" si="22"/>
        <v>#VALUE!</v>
      </c>
      <c r="P187" s="36">
        <f t="shared" si="23"/>
        <v>0</v>
      </c>
      <c r="Q187" s="24">
        <v>6600024142.4592056</v>
      </c>
      <c r="R187" s="24">
        <f t="shared" si="24"/>
        <v>99000362136.888092</v>
      </c>
      <c r="S187" s="23" t="e">
        <f t="shared" si="18"/>
        <v>#VALUE!</v>
      </c>
      <c r="T187" s="23" t="e">
        <f t="shared" si="25"/>
        <v>#VALUE!</v>
      </c>
      <c r="U187" s="23" t="e">
        <f t="shared" si="26"/>
        <v>#VALUE!</v>
      </c>
    </row>
    <row r="188" spans="1:21" x14ac:dyDescent="0.25">
      <c r="A188" s="18" t="s">
        <v>397</v>
      </c>
      <c r="B188" s="18" t="s">
        <v>398</v>
      </c>
      <c r="C188" s="18" t="s">
        <v>45</v>
      </c>
      <c r="D188" s="18" t="s">
        <v>19</v>
      </c>
      <c r="F188" s="20">
        <v>7824909</v>
      </c>
      <c r="G188" s="20">
        <v>9477452</v>
      </c>
      <c r="H188" s="20" t="s">
        <v>232</v>
      </c>
      <c r="I188" s="22">
        <v>1.1004620318530163</v>
      </c>
      <c r="J188" s="23" t="e">
        <f t="shared" si="19"/>
        <v>#VALUE!</v>
      </c>
      <c r="K188" s="21">
        <v>100</v>
      </c>
      <c r="L188" s="24">
        <f t="shared" si="20"/>
        <v>0</v>
      </c>
      <c r="M188" s="36">
        <f t="shared" si="21"/>
        <v>0</v>
      </c>
      <c r="N188" s="23">
        <v>0</v>
      </c>
      <c r="O188" s="24" t="e">
        <f t="shared" si="22"/>
        <v>#VALUE!</v>
      </c>
      <c r="P188" s="36">
        <f t="shared" si="23"/>
        <v>0</v>
      </c>
      <c r="Q188" s="24">
        <v>278578079.29358196</v>
      </c>
      <c r="R188" s="24">
        <f t="shared" si="24"/>
        <v>4178671189.4037294</v>
      </c>
      <c r="S188" s="23" t="e">
        <f t="shared" si="18"/>
        <v>#VALUE!</v>
      </c>
      <c r="T188" s="23" t="e">
        <f t="shared" si="25"/>
        <v>#VALUE!</v>
      </c>
      <c r="U188" s="23" t="e">
        <f t="shared" si="26"/>
        <v>#VALUE!</v>
      </c>
    </row>
    <row r="189" spans="1:21" x14ac:dyDescent="0.25">
      <c r="A189" s="18" t="s">
        <v>399</v>
      </c>
      <c r="B189" s="18" t="s">
        <v>400</v>
      </c>
      <c r="C189" s="18" t="s">
        <v>40</v>
      </c>
      <c r="D189" s="18" t="s">
        <v>22</v>
      </c>
      <c r="E189" s="18" t="s">
        <v>54</v>
      </c>
      <c r="F189" s="20">
        <v>21532647</v>
      </c>
      <c r="G189" s="20">
        <v>29933865</v>
      </c>
      <c r="H189" s="21">
        <v>157</v>
      </c>
      <c r="I189" s="22">
        <v>1.1004620318530163</v>
      </c>
      <c r="J189" s="23">
        <f t="shared" si="19"/>
        <v>172.77253900092356</v>
      </c>
      <c r="K189" s="21">
        <v>92.7</v>
      </c>
      <c r="L189" s="24">
        <f t="shared" si="20"/>
        <v>2185172.1449999986</v>
      </c>
      <c r="M189" s="36">
        <f t="shared" si="21"/>
        <v>2185172.1449999986</v>
      </c>
      <c r="N189" s="23">
        <v>5.8613944938892791E-2</v>
      </c>
      <c r="O189" s="24">
        <f t="shared" si="22"/>
        <v>377537739.64574403</v>
      </c>
      <c r="P189" s="36">
        <f t="shared" si="23"/>
        <v>377537739.64574403</v>
      </c>
      <c r="Q189" s="24" t="s">
        <v>232</v>
      </c>
      <c r="R189" s="24" t="e">
        <f t="shared" si="24"/>
        <v>#VALUE!</v>
      </c>
      <c r="S189" s="23" t="e">
        <f t="shared" si="18"/>
        <v>#VALUE!</v>
      </c>
      <c r="T189" s="23" t="e">
        <f t="shared" si="25"/>
        <v>#VALUE!</v>
      </c>
      <c r="U189" s="23" t="e">
        <f t="shared" si="26"/>
        <v>#VALUE!</v>
      </c>
    </row>
    <row r="190" spans="1:21" x14ac:dyDescent="0.25">
      <c r="A190" s="18" t="s">
        <v>401</v>
      </c>
      <c r="B190" s="18" t="s">
        <v>402</v>
      </c>
      <c r="C190" s="18" t="s">
        <v>14</v>
      </c>
      <c r="D190" s="18" t="s">
        <v>19</v>
      </c>
      <c r="F190" s="20">
        <v>7627326</v>
      </c>
      <c r="G190" s="20">
        <v>11407028</v>
      </c>
      <c r="H190" s="20" t="s">
        <v>232</v>
      </c>
      <c r="I190" s="22">
        <v>1.1004620318530163</v>
      </c>
      <c r="J190" s="23" t="e">
        <f t="shared" si="19"/>
        <v>#VALUE!</v>
      </c>
      <c r="K190" s="21">
        <v>100</v>
      </c>
      <c r="L190" s="24">
        <f t="shared" si="20"/>
        <v>0</v>
      </c>
      <c r="M190" s="36">
        <f t="shared" si="21"/>
        <v>0</v>
      </c>
      <c r="N190" s="23">
        <v>0</v>
      </c>
      <c r="O190" s="24" t="e">
        <f t="shared" si="22"/>
        <v>#VALUE!</v>
      </c>
      <c r="P190" s="36">
        <f t="shared" si="23"/>
        <v>0</v>
      </c>
      <c r="Q190" s="24">
        <v>89930664.353367537</v>
      </c>
      <c r="R190" s="24">
        <f t="shared" si="24"/>
        <v>1348959965.300513</v>
      </c>
      <c r="S190" s="23" t="e">
        <f t="shared" si="18"/>
        <v>#VALUE!</v>
      </c>
      <c r="T190" s="23" t="e">
        <f t="shared" si="25"/>
        <v>#VALUE!</v>
      </c>
      <c r="U190" s="23" t="e">
        <f t="shared" si="26"/>
        <v>#VALUE!</v>
      </c>
    </row>
    <row r="191" spans="1:21" x14ac:dyDescent="0.25">
      <c r="A191" s="18" t="s">
        <v>403</v>
      </c>
      <c r="B191" s="18" t="s">
        <v>404</v>
      </c>
      <c r="C191" s="18" t="s">
        <v>14</v>
      </c>
      <c r="D191" s="18" t="s">
        <v>32</v>
      </c>
      <c r="F191" s="20">
        <v>44973330</v>
      </c>
      <c r="G191" s="24">
        <v>79354326</v>
      </c>
      <c r="H191" s="21">
        <v>326.89002158513563</v>
      </c>
      <c r="I191" s="22">
        <v>1.1004620318530163</v>
      </c>
      <c r="J191" s="23">
        <f t="shared" si="19"/>
        <v>359.73005734605471</v>
      </c>
      <c r="K191" s="21">
        <v>14.8</v>
      </c>
      <c r="L191" s="24">
        <f t="shared" si="20"/>
        <v>67609885.752000004</v>
      </c>
      <c r="M191" s="36">
        <f t="shared" si="21"/>
        <v>67609885.752000004</v>
      </c>
      <c r="N191" s="23">
        <v>2.7075295212977562E-2</v>
      </c>
      <c r="O191" s="24">
        <f t="shared" si="22"/>
        <v>24321308078.727169</v>
      </c>
      <c r="P191" s="36">
        <f t="shared" si="23"/>
        <v>24321308078.727169</v>
      </c>
      <c r="Q191" s="24">
        <v>2569147998.6777964</v>
      </c>
      <c r="R191" s="24">
        <f t="shared" si="24"/>
        <v>38537219980.166946</v>
      </c>
      <c r="S191" s="23">
        <f t="shared" si="18"/>
        <v>0.63111215835610479</v>
      </c>
      <c r="T191" s="23">
        <f t="shared" si="25"/>
        <v>0.21037071945203495</v>
      </c>
      <c r="U191" s="23">
        <f t="shared" si="26"/>
        <v>1.8933364750683144</v>
      </c>
    </row>
    <row r="192" spans="1:21" x14ac:dyDescent="0.25">
      <c r="A192" s="18" t="s">
        <v>405</v>
      </c>
      <c r="B192" s="18" t="s">
        <v>406</v>
      </c>
      <c r="C192" s="18" t="s">
        <v>18</v>
      </c>
      <c r="D192" s="18" t="s">
        <v>26</v>
      </c>
      <c r="F192" s="20">
        <v>66402316</v>
      </c>
      <c r="G192" s="20">
        <v>67554088</v>
      </c>
      <c r="H192" s="21">
        <v>157</v>
      </c>
      <c r="I192" s="22">
        <v>1.1004620318530163</v>
      </c>
      <c r="J192" s="23">
        <f t="shared" si="19"/>
        <v>172.77253900092356</v>
      </c>
      <c r="K192" s="21">
        <v>99.7</v>
      </c>
      <c r="L192" s="24">
        <f t="shared" si="20"/>
        <v>202662.26400000017</v>
      </c>
      <c r="M192" s="36">
        <f t="shared" si="21"/>
        <v>202662.26400000017</v>
      </c>
      <c r="N192" s="23">
        <v>0.11040303634246594</v>
      </c>
      <c r="O192" s="24">
        <f t="shared" si="22"/>
        <v>35014473.910955496</v>
      </c>
      <c r="P192" s="36">
        <f t="shared" si="23"/>
        <v>35014473.910955496</v>
      </c>
      <c r="Q192" s="24">
        <v>13671322551.946495</v>
      </c>
      <c r="R192" s="24">
        <f t="shared" si="24"/>
        <v>205069838279.19742</v>
      </c>
      <c r="S192" s="23">
        <f t="shared" si="18"/>
        <v>1.7074414357943839E-4</v>
      </c>
      <c r="T192" s="23">
        <f t="shared" si="25"/>
        <v>5.6914714526479465E-5</v>
      </c>
      <c r="U192" s="23">
        <f t="shared" si="26"/>
        <v>5.1223243073831518E-4</v>
      </c>
    </row>
    <row r="193" spans="1:21" x14ac:dyDescent="0.25">
      <c r="A193" s="18" t="s">
        <v>407</v>
      </c>
      <c r="B193" s="18" t="s">
        <v>408</v>
      </c>
      <c r="C193" s="18" t="s">
        <v>40</v>
      </c>
      <c r="D193" s="18" t="s">
        <v>26</v>
      </c>
      <c r="F193" s="20">
        <v>1142502</v>
      </c>
      <c r="G193" s="20">
        <v>1555457</v>
      </c>
      <c r="H193" s="21">
        <v>157</v>
      </c>
      <c r="I193" s="22">
        <v>1.1004620318530163</v>
      </c>
      <c r="J193" s="23">
        <f t="shared" si="19"/>
        <v>172.77253900092356</v>
      </c>
      <c r="K193" s="21">
        <v>38</v>
      </c>
      <c r="L193" s="24">
        <f t="shared" si="20"/>
        <v>964383.34</v>
      </c>
      <c r="M193" s="36">
        <f t="shared" si="21"/>
        <v>964383.34</v>
      </c>
      <c r="N193" s="23">
        <v>0.11040303634246594</v>
      </c>
      <c r="O193" s="24">
        <f t="shared" si="22"/>
        <v>166618958.22199091</v>
      </c>
      <c r="P193" s="36">
        <f t="shared" si="23"/>
        <v>166618958.22199091</v>
      </c>
      <c r="Q193" s="24">
        <v>6029932.4922673218</v>
      </c>
      <c r="R193" s="24">
        <f t="shared" si="24"/>
        <v>90448987.384009823</v>
      </c>
      <c r="S193" s="23">
        <f t="shared" si="18"/>
        <v>1.8421318252529926</v>
      </c>
      <c r="T193" s="23">
        <f t="shared" si="25"/>
        <v>0.61404394175099752</v>
      </c>
      <c r="U193" s="23">
        <f t="shared" si="26"/>
        <v>5.526395475758977</v>
      </c>
    </row>
    <row r="194" spans="1:21" x14ac:dyDescent="0.25">
      <c r="A194" s="18" t="s">
        <v>409</v>
      </c>
      <c r="B194" s="18" t="s">
        <v>410</v>
      </c>
      <c r="C194" s="18" t="s">
        <v>14</v>
      </c>
      <c r="D194" s="18" t="s">
        <v>32</v>
      </c>
      <c r="F194" s="20">
        <v>6306014</v>
      </c>
      <c r="G194" s="20">
        <v>10014965</v>
      </c>
      <c r="H194" s="21">
        <v>326.89002158513563</v>
      </c>
      <c r="I194" s="22">
        <v>1.1004620318530163</v>
      </c>
      <c r="J194" s="23">
        <f t="shared" si="19"/>
        <v>359.73005734605471</v>
      </c>
      <c r="K194" s="21">
        <v>27.9</v>
      </c>
      <c r="L194" s="24">
        <f t="shared" si="20"/>
        <v>7220789.7650000006</v>
      </c>
      <c r="M194" s="36">
        <f t="shared" si="21"/>
        <v>7220789.7650000006</v>
      </c>
      <c r="N194" s="23">
        <v>2.7075295212977562E-2</v>
      </c>
      <c r="O194" s="24">
        <f t="shared" si="22"/>
        <v>2597535116.2472553</v>
      </c>
      <c r="P194" s="36">
        <f t="shared" si="23"/>
        <v>2597535116.2472553</v>
      </c>
      <c r="Q194" s="24">
        <v>289914233.93356359</v>
      </c>
      <c r="R194" s="24">
        <f t="shared" si="24"/>
        <v>4348713509.0034542</v>
      </c>
      <c r="S194" s="23">
        <f t="shared" si="18"/>
        <v>0.59731116130538187</v>
      </c>
      <c r="T194" s="23">
        <f t="shared" si="25"/>
        <v>0.19910372043512728</v>
      </c>
      <c r="U194" s="23">
        <f t="shared" si="26"/>
        <v>1.7919334839161456</v>
      </c>
    </row>
    <row r="195" spans="1:21" x14ac:dyDescent="0.25">
      <c r="A195" s="18" t="s">
        <v>411</v>
      </c>
      <c r="B195" s="18" t="s">
        <v>412</v>
      </c>
      <c r="C195" s="18" t="s">
        <v>18</v>
      </c>
      <c r="D195" s="18" t="s">
        <v>26</v>
      </c>
      <c r="F195" s="20">
        <v>104098</v>
      </c>
      <c r="G195" s="20">
        <v>120995</v>
      </c>
      <c r="H195" s="21">
        <v>157</v>
      </c>
      <c r="I195" s="22">
        <v>1.1004620318530163</v>
      </c>
      <c r="J195" s="23">
        <f t="shared" si="19"/>
        <v>172.77253900092356</v>
      </c>
      <c r="K195" s="21">
        <v>92.3</v>
      </c>
      <c r="L195" s="24">
        <f t="shared" si="20"/>
        <v>9316.6150000000089</v>
      </c>
      <c r="M195" s="36">
        <f t="shared" si="21"/>
        <v>9316.6150000000089</v>
      </c>
      <c r="N195" s="23">
        <v>0.11040303634246594</v>
      </c>
      <c r="O195" s="24">
        <f t="shared" si="22"/>
        <v>1609655.228444091</v>
      </c>
      <c r="P195" s="36">
        <f t="shared" si="23"/>
        <v>1609655.228444091</v>
      </c>
      <c r="Q195" s="24">
        <v>258294.04268454493</v>
      </c>
      <c r="R195" s="24">
        <f t="shared" si="24"/>
        <v>3874410.640268174</v>
      </c>
      <c r="S195" s="23">
        <f t="shared" ref="S195:S216" si="27">O195/R195</f>
        <v>0.41545808586068617</v>
      </c>
      <c r="T195" s="23">
        <f t="shared" si="25"/>
        <v>0.13848602862022871</v>
      </c>
      <c r="U195" s="23">
        <f t="shared" si="26"/>
        <v>1.2463742575820584</v>
      </c>
    </row>
    <row r="196" spans="1:21" x14ac:dyDescent="0.25">
      <c r="A196" s="18" t="s">
        <v>413</v>
      </c>
      <c r="B196" s="18" t="s">
        <v>414</v>
      </c>
      <c r="C196" s="18" t="s">
        <v>29</v>
      </c>
      <c r="D196" s="18" t="s">
        <v>35</v>
      </c>
      <c r="E196" s="18"/>
      <c r="F196" s="20">
        <v>1328095</v>
      </c>
      <c r="G196" s="20">
        <v>1307826</v>
      </c>
      <c r="H196" s="21">
        <v>326.89002158513563</v>
      </c>
      <c r="I196" s="22">
        <v>1.1004620318530163</v>
      </c>
      <c r="J196" s="23">
        <f t="shared" ref="J196:J216" si="28">H196*I196</f>
        <v>359.73005734605471</v>
      </c>
      <c r="K196" s="21">
        <v>99</v>
      </c>
      <c r="L196" s="24">
        <f t="shared" ref="L196:L216" si="29">(1-(K196/100))*G196</f>
        <v>13078.260000000011</v>
      </c>
      <c r="M196" s="36">
        <f t="shared" ref="M196:M216" si="30">IFERROR(L196,0)</f>
        <v>13078.260000000011</v>
      </c>
      <c r="N196" s="23">
        <v>2.7075295212977562E-2</v>
      </c>
      <c r="O196" s="24">
        <f t="shared" ref="O196:O216" si="31">J196*L196</f>
        <v>4704643.219786617</v>
      </c>
      <c r="P196" s="36">
        <f t="shared" ref="P196:P216" si="32">IFERROR(O196,0)</f>
        <v>4704643.219786617</v>
      </c>
      <c r="Q196" s="24">
        <v>8121778589.9499531</v>
      </c>
      <c r="R196" s="24">
        <f t="shared" ref="R196:R216" si="33">Q196*15</f>
        <v>121826678849.2493</v>
      </c>
      <c r="S196" s="23">
        <f t="shared" si="27"/>
        <v>3.8617511896620232E-5</v>
      </c>
      <c r="T196" s="23">
        <f t="shared" si="25"/>
        <v>1.2872503965540076E-5</v>
      </c>
      <c r="U196" s="23">
        <f t="shared" si="26"/>
        <v>1.1585253568986069E-4</v>
      </c>
    </row>
    <row r="197" spans="1:21" x14ac:dyDescent="0.25">
      <c r="A197" s="18" t="s">
        <v>415</v>
      </c>
      <c r="B197" s="18" t="s">
        <v>416</v>
      </c>
      <c r="C197" s="18" t="s">
        <v>18</v>
      </c>
      <c r="D197" s="18" t="s">
        <v>22</v>
      </c>
      <c r="E197" s="18" t="s">
        <v>23</v>
      </c>
      <c r="F197" s="20">
        <v>10549100</v>
      </c>
      <c r="G197" s="20">
        <v>12561225</v>
      </c>
      <c r="H197" s="21">
        <v>326.89002158513563</v>
      </c>
      <c r="I197" s="22">
        <v>1.1004620318530163</v>
      </c>
      <c r="J197" s="23">
        <f t="shared" si="28"/>
        <v>359.73005734605471</v>
      </c>
      <c r="K197" s="21">
        <v>99.5</v>
      </c>
      <c r="L197" s="24">
        <f t="shared" si="29"/>
        <v>62806.125000000058</v>
      </c>
      <c r="M197" s="36">
        <f t="shared" si="30"/>
        <v>62806.125000000058</v>
      </c>
      <c r="N197" s="23">
        <v>2.7075295212977562E-2</v>
      </c>
      <c r="O197" s="24">
        <f t="shared" si="31"/>
        <v>22593250.947933502</v>
      </c>
      <c r="P197" s="36">
        <f t="shared" si="32"/>
        <v>22593250.947933502</v>
      </c>
      <c r="Q197" s="24">
        <v>2923132889.5717616</v>
      </c>
      <c r="R197" s="24">
        <f t="shared" si="33"/>
        <v>43846993343.576424</v>
      </c>
      <c r="S197" s="23">
        <f t="shared" si="27"/>
        <v>5.1527480506809728E-4</v>
      </c>
      <c r="T197" s="23">
        <f t="shared" ref="T197:T216" si="34">(O197/2)/(R197*1.5)</f>
        <v>1.7175826835603243E-4</v>
      </c>
      <c r="U197" s="23">
        <f t="shared" ref="U197:U216" si="35">(O197*1.5)/(R197/2)</f>
        <v>1.5458244152042921E-3</v>
      </c>
    </row>
    <row r="198" spans="1:21" x14ac:dyDescent="0.25">
      <c r="A198" s="18" t="s">
        <v>417</v>
      </c>
      <c r="B198" s="18" t="s">
        <v>418</v>
      </c>
      <c r="C198" s="18" t="s">
        <v>18</v>
      </c>
      <c r="D198" s="18" t="s">
        <v>19</v>
      </c>
      <c r="F198" s="20">
        <v>72137546</v>
      </c>
      <c r="G198" s="20">
        <v>86825345</v>
      </c>
      <c r="H198" s="20" t="s">
        <v>232</v>
      </c>
      <c r="I198" s="22">
        <v>1.1004620318530163</v>
      </c>
      <c r="J198" s="23" t="e">
        <f t="shared" si="28"/>
        <v>#VALUE!</v>
      </c>
      <c r="K198" s="21">
        <v>100</v>
      </c>
      <c r="L198" s="24">
        <f t="shared" si="29"/>
        <v>0</v>
      </c>
      <c r="M198" s="36">
        <f t="shared" si="30"/>
        <v>0</v>
      </c>
      <c r="N198" s="23">
        <v>0</v>
      </c>
      <c r="O198" s="24" t="e">
        <f t="shared" si="31"/>
        <v>#VALUE!</v>
      </c>
      <c r="P198" s="36">
        <f t="shared" si="32"/>
        <v>0</v>
      </c>
      <c r="Q198" s="24">
        <v>4369682103.2413588</v>
      </c>
      <c r="R198" s="24">
        <f t="shared" si="33"/>
        <v>65545231548.620384</v>
      </c>
      <c r="S198" s="23" t="e">
        <f t="shared" si="27"/>
        <v>#VALUE!</v>
      </c>
      <c r="T198" s="23" t="e">
        <f t="shared" si="34"/>
        <v>#VALUE!</v>
      </c>
      <c r="U198" s="23" t="e">
        <f t="shared" si="35"/>
        <v>#VALUE!</v>
      </c>
    </row>
    <row r="199" spans="1:21" x14ac:dyDescent="0.25">
      <c r="A199" s="18" t="s">
        <v>419</v>
      </c>
      <c r="B199" s="18" t="s">
        <v>420</v>
      </c>
      <c r="C199" s="18" t="s">
        <v>18</v>
      </c>
      <c r="D199" s="18" t="s">
        <v>19</v>
      </c>
      <c r="F199" s="20">
        <v>5041995</v>
      </c>
      <c r="G199" s="20">
        <v>6159875</v>
      </c>
      <c r="H199" s="20" t="s">
        <v>232</v>
      </c>
      <c r="I199" s="22">
        <v>1.1004620318530163</v>
      </c>
      <c r="J199" s="23" t="e">
        <f t="shared" si="28"/>
        <v>#VALUE!</v>
      </c>
      <c r="K199" s="21">
        <v>100</v>
      </c>
      <c r="L199" s="24">
        <f t="shared" si="29"/>
        <v>0</v>
      </c>
      <c r="M199" s="36">
        <f t="shared" si="30"/>
        <v>0</v>
      </c>
      <c r="N199" s="23">
        <v>0</v>
      </c>
      <c r="O199" s="24" t="e">
        <f t="shared" si="31"/>
        <v>#VALUE!</v>
      </c>
      <c r="P199" s="36">
        <f t="shared" si="32"/>
        <v>0</v>
      </c>
      <c r="Q199" s="24">
        <v>8829721321.8512516</v>
      </c>
      <c r="R199" s="24">
        <f t="shared" si="33"/>
        <v>132445819827.76877</v>
      </c>
      <c r="S199" s="23" t="e">
        <f t="shared" si="27"/>
        <v>#VALUE!</v>
      </c>
      <c r="T199" s="23" t="e">
        <f t="shared" si="34"/>
        <v>#VALUE!</v>
      </c>
      <c r="U199" s="23" t="e">
        <f t="shared" si="35"/>
        <v>#VALUE!</v>
      </c>
    </row>
    <row r="200" spans="1:21" x14ac:dyDescent="0.25">
      <c r="A200" s="18" t="s">
        <v>421</v>
      </c>
      <c r="B200" s="18" t="s">
        <v>422</v>
      </c>
      <c r="C200" s="18" t="s">
        <v>29</v>
      </c>
      <c r="D200" s="18" t="s">
        <v>35</v>
      </c>
      <c r="E200" s="18"/>
      <c r="F200" s="20">
        <v>30993</v>
      </c>
      <c r="G200" s="20">
        <v>40698</v>
      </c>
      <c r="H200" s="21">
        <v>326.89002158513563</v>
      </c>
      <c r="I200" s="22">
        <v>1.1004620318530163</v>
      </c>
      <c r="J200" s="23">
        <f t="shared" si="28"/>
        <v>359.73005734605471</v>
      </c>
      <c r="K200" s="21">
        <v>88.229380000000006</v>
      </c>
      <c r="L200" s="24">
        <f t="shared" si="29"/>
        <v>4790.4069275999991</v>
      </c>
      <c r="M200" s="36">
        <f t="shared" si="30"/>
        <v>4790.4069275999991</v>
      </c>
      <c r="N200" s="23">
        <v>2.7075295212977562E-2</v>
      </c>
      <c r="O200" s="24">
        <f t="shared" si="31"/>
        <v>1723253.3587764853</v>
      </c>
      <c r="P200" s="36">
        <f t="shared" si="32"/>
        <v>1723253.3587764853</v>
      </c>
      <c r="Q200" s="24" t="s">
        <v>232</v>
      </c>
      <c r="R200" s="24" t="e">
        <f t="shared" si="33"/>
        <v>#VALUE!</v>
      </c>
      <c r="S200" s="23" t="e">
        <f t="shared" si="27"/>
        <v>#VALUE!</v>
      </c>
      <c r="T200" s="23" t="e">
        <f t="shared" si="34"/>
        <v>#VALUE!</v>
      </c>
      <c r="U200" s="23" t="e">
        <f t="shared" si="35"/>
        <v>#VALUE!</v>
      </c>
    </row>
    <row r="201" spans="1:21" s="31" customFormat="1" x14ac:dyDescent="0.25">
      <c r="A201" s="25" t="s">
        <v>423</v>
      </c>
      <c r="B201" s="25" t="s">
        <v>424</v>
      </c>
      <c r="C201" s="25" t="s">
        <v>18</v>
      </c>
      <c r="D201" s="25" t="s">
        <v>26</v>
      </c>
      <c r="F201" s="26">
        <v>9827</v>
      </c>
      <c r="G201" s="26">
        <v>10707</v>
      </c>
      <c r="H201" s="27">
        <v>157</v>
      </c>
      <c r="I201" s="28">
        <v>1.1004620318530163</v>
      </c>
      <c r="J201" s="29">
        <f t="shared" si="28"/>
        <v>172.77253900092356</v>
      </c>
      <c r="K201" s="27">
        <v>41</v>
      </c>
      <c r="L201" s="24">
        <f t="shared" si="29"/>
        <v>6317.130000000001</v>
      </c>
      <c r="M201" s="36">
        <f t="shared" si="30"/>
        <v>6317.130000000001</v>
      </c>
      <c r="N201" s="29">
        <v>0.11040303634246594</v>
      </c>
      <c r="O201" s="24">
        <f t="shared" si="31"/>
        <v>1091426.5892989044</v>
      </c>
      <c r="P201" s="36">
        <f t="shared" si="32"/>
        <v>1091426.5892989044</v>
      </c>
      <c r="Q201" s="30">
        <v>0</v>
      </c>
      <c r="R201" s="24">
        <f t="shared" si="33"/>
        <v>0</v>
      </c>
      <c r="S201" s="23" t="e">
        <f t="shared" si="27"/>
        <v>#DIV/0!</v>
      </c>
      <c r="T201" s="23" t="e">
        <f t="shared" si="34"/>
        <v>#DIV/0!</v>
      </c>
      <c r="U201" s="23" t="e">
        <f t="shared" si="35"/>
        <v>#DIV/0!</v>
      </c>
    </row>
    <row r="202" spans="1:21" x14ac:dyDescent="0.25">
      <c r="A202" s="18" t="s">
        <v>425</v>
      </c>
      <c r="B202" s="18" t="s">
        <v>426</v>
      </c>
      <c r="C202" s="18" t="s">
        <v>14</v>
      </c>
      <c r="D202" s="18" t="s">
        <v>32</v>
      </c>
      <c r="F202" s="20">
        <v>33987213</v>
      </c>
      <c r="G202" s="20">
        <v>63387713</v>
      </c>
      <c r="H202" s="21">
        <v>326.89002158513563</v>
      </c>
      <c r="I202" s="22">
        <v>1.1004620318530163</v>
      </c>
      <c r="J202" s="23">
        <f t="shared" si="28"/>
        <v>359.73005734605471</v>
      </c>
      <c r="K202" s="21">
        <v>14.6</v>
      </c>
      <c r="L202" s="24">
        <f t="shared" si="29"/>
        <v>54133106.901999995</v>
      </c>
      <c r="M202" s="36">
        <f t="shared" si="30"/>
        <v>54133106.901999995</v>
      </c>
      <c r="N202" s="23">
        <v>2.7075295212977562E-2</v>
      </c>
      <c r="O202" s="24">
        <f t="shared" si="31"/>
        <v>19473305650.176567</v>
      </c>
      <c r="P202" s="36">
        <f t="shared" si="32"/>
        <v>19473305650.176567</v>
      </c>
      <c r="Q202" s="24">
        <v>2346264440.3663912</v>
      </c>
      <c r="R202" s="24">
        <f t="shared" si="33"/>
        <v>35193966605.495865</v>
      </c>
      <c r="S202" s="23">
        <f t="shared" si="27"/>
        <v>0.5533137502930866</v>
      </c>
      <c r="T202" s="23">
        <f t="shared" si="34"/>
        <v>0.18443791676436219</v>
      </c>
      <c r="U202" s="23">
        <f t="shared" si="35"/>
        <v>1.6599412508792597</v>
      </c>
    </row>
    <row r="203" spans="1:21" x14ac:dyDescent="0.25">
      <c r="A203" s="18" t="s">
        <v>427</v>
      </c>
      <c r="B203" s="18" t="s">
        <v>428</v>
      </c>
      <c r="C203" s="18" t="s">
        <v>40</v>
      </c>
      <c r="D203" s="18" t="s">
        <v>19</v>
      </c>
      <c r="F203" s="20">
        <v>45870700</v>
      </c>
      <c r="G203" s="20">
        <v>39841900</v>
      </c>
      <c r="H203" s="20" t="s">
        <v>232</v>
      </c>
      <c r="I203" s="22">
        <v>1.1004620318530163</v>
      </c>
      <c r="J203" s="23" t="e">
        <f t="shared" si="28"/>
        <v>#VALUE!</v>
      </c>
      <c r="K203" s="21">
        <v>99.8</v>
      </c>
      <c r="L203" s="24">
        <f t="shared" si="29"/>
        <v>79683.800000000076</v>
      </c>
      <c r="M203" s="36">
        <f t="shared" si="30"/>
        <v>79683.800000000076</v>
      </c>
      <c r="N203" s="23">
        <v>0</v>
      </c>
      <c r="O203" s="24" t="e">
        <f t="shared" si="31"/>
        <v>#VALUE!</v>
      </c>
      <c r="P203" s="36">
        <f t="shared" si="32"/>
        <v>0</v>
      </c>
      <c r="Q203" s="24">
        <v>7490439523.5188084</v>
      </c>
      <c r="R203" s="24">
        <f t="shared" si="33"/>
        <v>112356592852.78212</v>
      </c>
      <c r="S203" s="23" t="e">
        <f t="shared" si="27"/>
        <v>#VALUE!</v>
      </c>
      <c r="T203" s="23" t="e">
        <f t="shared" si="34"/>
        <v>#VALUE!</v>
      </c>
      <c r="U203" s="23" t="e">
        <f t="shared" si="35"/>
        <v>#VALUE!</v>
      </c>
    </row>
    <row r="204" spans="1:21" x14ac:dyDescent="0.25">
      <c r="A204" s="18" t="s">
        <v>429</v>
      </c>
      <c r="B204" s="18" t="s">
        <v>430</v>
      </c>
      <c r="C204" s="18" t="s">
        <v>29</v>
      </c>
      <c r="D204" s="18" t="s">
        <v>22</v>
      </c>
      <c r="E204" s="18" t="s">
        <v>54</v>
      </c>
      <c r="F204" s="20">
        <v>8441537</v>
      </c>
      <c r="G204" s="20">
        <v>12330367</v>
      </c>
      <c r="H204" s="21">
        <v>157</v>
      </c>
      <c r="I204" s="22">
        <v>1.1004620318530163</v>
      </c>
      <c r="J204" s="23">
        <f t="shared" si="28"/>
        <v>172.77253900092356</v>
      </c>
      <c r="K204" s="21">
        <v>94.135270000000006</v>
      </c>
      <c r="L204" s="24">
        <f t="shared" si="29"/>
        <v>723142.73255909944</v>
      </c>
      <c r="M204" s="36">
        <f t="shared" si="30"/>
        <v>723142.73255909944</v>
      </c>
      <c r="N204" s="23">
        <v>5.8613944938892791E-2</v>
      </c>
      <c r="O204" s="24">
        <f t="shared" si="31"/>
        <v>124939205.96430144</v>
      </c>
      <c r="P204" s="36">
        <f t="shared" si="32"/>
        <v>124939205.96430144</v>
      </c>
      <c r="Q204" s="24">
        <v>62330586907.323227</v>
      </c>
      <c r="R204" s="24">
        <f t="shared" si="33"/>
        <v>934958803609.84839</v>
      </c>
      <c r="S204" s="23">
        <f t="shared" si="27"/>
        <v>1.3363070702357671E-4</v>
      </c>
      <c r="T204" s="23">
        <f t="shared" si="34"/>
        <v>4.4543569007858907E-5</v>
      </c>
      <c r="U204" s="23">
        <f t="shared" si="35"/>
        <v>4.0089212107073007E-4</v>
      </c>
    </row>
    <row r="205" spans="1:21" x14ac:dyDescent="0.25">
      <c r="A205" s="18" t="s">
        <v>431</v>
      </c>
      <c r="B205" s="18" t="s">
        <v>432</v>
      </c>
      <c r="C205" s="18" t="s">
        <v>45</v>
      </c>
      <c r="D205" s="18" t="s">
        <v>19</v>
      </c>
      <c r="F205" s="20">
        <v>62747868</v>
      </c>
      <c r="G205" s="20">
        <v>68630898</v>
      </c>
      <c r="H205" s="20" t="s">
        <v>232</v>
      </c>
      <c r="I205" s="22">
        <v>1.1004620318530163</v>
      </c>
      <c r="J205" s="23" t="e">
        <f t="shared" si="28"/>
        <v>#VALUE!</v>
      </c>
      <c r="K205" s="21">
        <v>100</v>
      </c>
      <c r="L205" s="24">
        <f t="shared" si="29"/>
        <v>0</v>
      </c>
      <c r="M205" s="36">
        <f t="shared" si="30"/>
        <v>0</v>
      </c>
      <c r="N205" s="23">
        <v>0</v>
      </c>
      <c r="O205" s="24" t="e">
        <f t="shared" si="31"/>
        <v>#VALUE!</v>
      </c>
      <c r="P205" s="36">
        <f t="shared" si="32"/>
        <v>0</v>
      </c>
      <c r="Q205" s="24">
        <v>35339743590.988991</v>
      </c>
      <c r="R205" s="24">
        <f t="shared" si="33"/>
        <v>530096153864.83484</v>
      </c>
      <c r="S205" s="23" t="e">
        <f t="shared" si="27"/>
        <v>#VALUE!</v>
      </c>
      <c r="T205" s="23" t="e">
        <f t="shared" si="34"/>
        <v>#VALUE!</v>
      </c>
      <c r="U205" s="23" t="e">
        <f t="shared" si="35"/>
        <v>#VALUE!</v>
      </c>
    </row>
    <row r="206" spans="1:21" x14ac:dyDescent="0.25">
      <c r="A206" s="18" t="s">
        <v>433</v>
      </c>
      <c r="B206" s="18" t="s">
        <v>434</v>
      </c>
      <c r="C206" s="18" t="s">
        <v>45</v>
      </c>
      <c r="D206" s="18" t="s">
        <v>69</v>
      </c>
      <c r="F206" s="20">
        <v>309326225</v>
      </c>
      <c r="G206" s="24">
        <v>362628830</v>
      </c>
      <c r="H206" s="20" t="s">
        <v>232</v>
      </c>
      <c r="I206" s="22">
        <v>1.1004620318530163</v>
      </c>
      <c r="J206" s="23" t="e">
        <f t="shared" si="28"/>
        <v>#VALUE!</v>
      </c>
      <c r="K206" s="21">
        <v>100</v>
      </c>
      <c r="L206" s="24">
        <f t="shared" si="29"/>
        <v>0</v>
      </c>
      <c r="M206" s="36">
        <f t="shared" si="30"/>
        <v>0</v>
      </c>
      <c r="N206" s="23">
        <v>0</v>
      </c>
      <c r="O206" s="24" t="e">
        <f t="shared" si="31"/>
        <v>#VALUE!</v>
      </c>
      <c r="P206" s="36">
        <f t="shared" si="32"/>
        <v>0</v>
      </c>
      <c r="Q206" s="24">
        <v>183742824092.28073</v>
      </c>
      <c r="R206" s="24">
        <f t="shared" si="33"/>
        <v>2756142361384.2109</v>
      </c>
      <c r="S206" s="23" t="e">
        <f t="shared" si="27"/>
        <v>#VALUE!</v>
      </c>
      <c r="T206" s="23" t="e">
        <f t="shared" si="34"/>
        <v>#VALUE!</v>
      </c>
      <c r="U206" s="23" t="e">
        <f t="shared" si="35"/>
        <v>#VALUE!</v>
      </c>
    </row>
    <row r="207" spans="1:21" x14ac:dyDescent="0.25">
      <c r="A207" s="18" t="s">
        <v>435</v>
      </c>
      <c r="B207" s="18" t="s">
        <v>436</v>
      </c>
      <c r="C207" s="18" t="s">
        <v>29</v>
      </c>
      <c r="D207" s="18" t="s">
        <v>35</v>
      </c>
      <c r="E207" s="18"/>
      <c r="F207" s="20">
        <v>3371982</v>
      </c>
      <c r="G207" s="20">
        <v>3581432</v>
      </c>
      <c r="H207" s="21">
        <v>326.89002158513563</v>
      </c>
      <c r="I207" s="22">
        <v>1.1004620318530163</v>
      </c>
      <c r="J207" s="23">
        <f t="shared" si="28"/>
        <v>359.73005734605471</v>
      </c>
      <c r="K207" s="21">
        <v>99.11</v>
      </c>
      <c r="L207" s="24">
        <f t="shared" si="29"/>
        <v>31874.74480000007</v>
      </c>
      <c r="M207" s="36">
        <f t="shared" si="30"/>
        <v>31874.74480000007</v>
      </c>
      <c r="N207" s="23">
        <v>2.7075295212977562E-2</v>
      </c>
      <c r="O207" s="24">
        <f t="shared" si="31"/>
        <v>11466303.774794884</v>
      </c>
      <c r="P207" s="36">
        <f t="shared" si="32"/>
        <v>11466303.774794884</v>
      </c>
      <c r="Q207" s="24">
        <v>1344798564.3950837</v>
      </c>
      <c r="R207" s="24">
        <f t="shared" si="33"/>
        <v>20171978465.926254</v>
      </c>
      <c r="S207" s="23">
        <f t="shared" si="27"/>
        <v>5.6842732576595461E-4</v>
      </c>
      <c r="T207" s="23">
        <f t="shared" si="34"/>
        <v>1.894757752553182E-4</v>
      </c>
      <c r="U207" s="23">
        <f t="shared" si="35"/>
        <v>1.7052819772978638E-3</v>
      </c>
    </row>
    <row r="208" spans="1:21" x14ac:dyDescent="0.25">
      <c r="A208" s="18" t="s">
        <v>437</v>
      </c>
      <c r="B208" s="18" t="s">
        <v>438</v>
      </c>
      <c r="C208" s="18" t="s">
        <v>40</v>
      </c>
      <c r="D208" s="18" t="s">
        <v>19</v>
      </c>
      <c r="F208" s="20">
        <v>28562400</v>
      </c>
      <c r="G208" s="20">
        <v>34146873</v>
      </c>
      <c r="H208" s="20" t="s">
        <v>232</v>
      </c>
      <c r="I208" s="22">
        <v>1.1004620318530163</v>
      </c>
      <c r="J208" s="23" t="e">
        <f t="shared" si="28"/>
        <v>#VALUE!</v>
      </c>
      <c r="K208" s="21">
        <v>100</v>
      </c>
      <c r="L208" s="24">
        <f t="shared" si="29"/>
        <v>0</v>
      </c>
      <c r="M208" s="36">
        <f t="shared" si="30"/>
        <v>0</v>
      </c>
      <c r="N208" s="23">
        <v>0</v>
      </c>
      <c r="O208" s="24" t="e">
        <f t="shared" si="31"/>
        <v>#VALUE!</v>
      </c>
      <c r="P208" s="36">
        <f t="shared" si="32"/>
        <v>0</v>
      </c>
      <c r="Q208" s="24">
        <v>10682101144.876232</v>
      </c>
      <c r="R208" s="24">
        <f t="shared" si="33"/>
        <v>160231517173.14349</v>
      </c>
      <c r="S208" s="23" t="e">
        <f t="shared" si="27"/>
        <v>#VALUE!</v>
      </c>
      <c r="T208" s="23" t="e">
        <f t="shared" si="34"/>
        <v>#VALUE!</v>
      </c>
      <c r="U208" s="23" t="e">
        <f t="shared" si="35"/>
        <v>#VALUE!</v>
      </c>
    </row>
    <row r="209" spans="1:21" x14ac:dyDescent="0.25">
      <c r="A209" s="18" t="s">
        <v>439</v>
      </c>
      <c r="B209" s="18" t="s">
        <v>440</v>
      </c>
      <c r="C209" s="18" t="s">
        <v>40</v>
      </c>
      <c r="D209" s="18" t="s">
        <v>26</v>
      </c>
      <c r="F209" s="20">
        <v>236299</v>
      </c>
      <c r="G209" s="20">
        <v>352225</v>
      </c>
      <c r="H209" s="21">
        <v>157</v>
      </c>
      <c r="I209" s="22">
        <v>1.1004620318530163</v>
      </c>
      <c r="J209" s="23">
        <f t="shared" si="28"/>
        <v>172.77253900092356</v>
      </c>
      <c r="K209" s="21">
        <v>23.514250000000001</v>
      </c>
      <c r="L209" s="24">
        <f t="shared" si="29"/>
        <v>269401.93293750001</v>
      </c>
      <c r="M209" s="36">
        <f t="shared" si="30"/>
        <v>269401.93293750001</v>
      </c>
      <c r="N209" s="23">
        <v>0.11040303634246594</v>
      </c>
      <c r="O209" s="24">
        <f t="shared" si="31"/>
        <v>46545255.965368412</v>
      </c>
      <c r="P209" s="36">
        <f t="shared" si="32"/>
        <v>46545255.965368412</v>
      </c>
      <c r="Q209" s="24">
        <v>7861829.9212791082</v>
      </c>
      <c r="R209" s="24">
        <f t="shared" si="33"/>
        <v>117927448.81918663</v>
      </c>
      <c r="S209" s="23">
        <f t="shared" si="27"/>
        <v>0.39469399560007751</v>
      </c>
      <c r="T209" s="23">
        <f t="shared" si="34"/>
        <v>0.13156466520002583</v>
      </c>
      <c r="U209" s="23">
        <f t="shared" si="35"/>
        <v>1.1840819868002324</v>
      </c>
    </row>
    <row r="210" spans="1:21" x14ac:dyDescent="0.25">
      <c r="A210" s="18" t="s">
        <v>441</v>
      </c>
      <c r="B210" s="18" t="s">
        <v>442</v>
      </c>
      <c r="C210" s="18" t="s">
        <v>18</v>
      </c>
      <c r="D210" s="18" t="s">
        <v>35</v>
      </c>
      <c r="E210" s="18"/>
      <c r="F210" s="20">
        <v>29043283</v>
      </c>
      <c r="G210" s="24">
        <v>37172167</v>
      </c>
      <c r="H210" s="21">
        <v>326.89002158513563</v>
      </c>
      <c r="I210" s="22">
        <v>1.1004620318530163</v>
      </c>
      <c r="J210" s="23">
        <f t="shared" si="28"/>
        <v>359.73005734605471</v>
      </c>
      <c r="K210" s="21">
        <v>100</v>
      </c>
      <c r="L210" s="24">
        <f t="shared" si="29"/>
        <v>0</v>
      </c>
      <c r="M210" s="36">
        <f t="shared" si="30"/>
        <v>0</v>
      </c>
      <c r="N210" s="23">
        <v>2.7075295212977562E-2</v>
      </c>
      <c r="O210" s="24">
        <f t="shared" si="31"/>
        <v>0</v>
      </c>
      <c r="P210" s="36">
        <f t="shared" si="32"/>
        <v>0</v>
      </c>
      <c r="Q210" s="24">
        <v>80589397008.56813</v>
      </c>
      <c r="R210" s="24">
        <f t="shared" si="33"/>
        <v>1208840955128.522</v>
      </c>
      <c r="S210" s="23">
        <f t="shared" si="27"/>
        <v>0</v>
      </c>
      <c r="T210" s="23">
        <f t="shared" si="34"/>
        <v>0</v>
      </c>
      <c r="U210" s="23">
        <f t="shared" si="35"/>
        <v>0</v>
      </c>
    </row>
    <row r="211" spans="1:21" x14ac:dyDescent="0.25">
      <c r="A211" s="18" t="s">
        <v>443</v>
      </c>
      <c r="B211" s="18" t="s">
        <v>444</v>
      </c>
      <c r="C211" s="18" t="s">
        <v>40</v>
      </c>
      <c r="D211" s="18" t="s">
        <v>26</v>
      </c>
      <c r="F211" s="20">
        <v>86932500</v>
      </c>
      <c r="G211" s="24">
        <v>101830324</v>
      </c>
      <c r="H211" s="21">
        <v>157</v>
      </c>
      <c r="I211" s="22">
        <v>1.1004620318530163</v>
      </c>
      <c r="J211" s="23">
        <f t="shared" si="28"/>
        <v>172.77253900092356</v>
      </c>
      <c r="K211" s="21">
        <v>96</v>
      </c>
      <c r="L211" s="24">
        <f t="shared" si="29"/>
        <v>4073212.9600000037</v>
      </c>
      <c r="M211" s="36">
        <f t="shared" si="30"/>
        <v>4073212.9600000037</v>
      </c>
      <c r="N211" s="23">
        <v>0.11040303634246594</v>
      </c>
      <c r="O211" s="24">
        <f t="shared" si="31"/>
        <v>703739344.99066794</v>
      </c>
      <c r="P211" s="36">
        <f t="shared" si="32"/>
        <v>703739344.99066794</v>
      </c>
      <c r="Q211" s="24">
        <v>13594414917.099127</v>
      </c>
      <c r="R211" s="24">
        <f t="shared" si="33"/>
        <v>203916223756.48691</v>
      </c>
      <c r="S211" s="23">
        <f t="shared" si="27"/>
        <v>3.4511199355626593E-3</v>
      </c>
      <c r="T211" s="23">
        <f t="shared" si="34"/>
        <v>1.1503733118542199E-3</v>
      </c>
      <c r="U211" s="23">
        <f t="shared" si="35"/>
        <v>1.0353359806687978E-2</v>
      </c>
    </row>
    <row r="212" spans="1:21" x14ac:dyDescent="0.25">
      <c r="A212" s="18" t="s">
        <v>445</v>
      </c>
      <c r="B212" s="18" t="s">
        <v>446</v>
      </c>
      <c r="C212" s="18" t="s">
        <v>29</v>
      </c>
      <c r="D212" s="18" t="s">
        <v>35</v>
      </c>
      <c r="E212" s="18"/>
      <c r="F212" s="20">
        <v>106267</v>
      </c>
      <c r="G212" s="24">
        <v>104912</v>
      </c>
      <c r="H212" s="21">
        <v>326.89002158513563</v>
      </c>
      <c r="I212" s="22">
        <v>1.1004620318530163</v>
      </c>
      <c r="J212" s="23">
        <f t="shared" si="28"/>
        <v>359.73005734605471</v>
      </c>
      <c r="K212" s="21">
        <v>88.229380000000006</v>
      </c>
      <c r="L212" s="24">
        <f t="shared" si="29"/>
        <v>12348.792854399999</v>
      </c>
      <c r="M212" s="36">
        <f t="shared" si="30"/>
        <v>12348.792854399999</v>
      </c>
      <c r="N212" s="23">
        <v>2.7075295212977562E-2</v>
      </c>
      <c r="O212" s="24">
        <f t="shared" si="31"/>
        <v>4442231.9616678618</v>
      </c>
      <c r="P212" s="36">
        <f t="shared" si="32"/>
        <v>4442231.9616678618</v>
      </c>
      <c r="Q212" s="24" t="s">
        <v>232</v>
      </c>
      <c r="R212" s="24" t="e">
        <f t="shared" si="33"/>
        <v>#VALUE!</v>
      </c>
      <c r="S212" s="23" t="e">
        <f t="shared" si="27"/>
        <v>#VALUE!</v>
      </c>
      <c r="T212" s="23" t="e">
        <f t="shared" si="34"/>
        <v>#VALUE!</v>
      </c>
      <c r="U212" s="23" t="e">
        <f t="shared" si="35"/>
        <v>#VALUE!</v>
      </c>
    </row>
    <row r="213" spans="1:21" x14ac:dyDescent="0.25">
      <c r="A213" s="18" t="s">
        <v>447</v>
      </c>
      <c r="B213" s="18" t="s">
        <v>448</v>
      </c>
      <c r="C213" s="18" t="s">
        <v>40</v>
      </c>
      <c r="D213" s="18" t="s">
        <v>22</v>
      </c>
      <c r="E213" s="18" t="s">
        <v>54</v>
      </c>
      <c r="F213" s="20">
        <v>3811102</v>
      </c>
      <c r="G213" s="20" t="s">
        <v>232</v>
      </c>
      <c r="H213" s="21">
        <v>157</v>
      </c>
      <c r="I213" s="22">
        <v>1.1004620318530163</v>
      </c>
      <c r="J213" s="23">
        <f t="shared" si="28"/>
        <v>172.77253900092356</v>
      </c>
      <c r="K213" s="21">
        <v>94.135270000000006</v>
      </c>
      <c r="L213" s="24" t="e">
        <f t="shared" si="29"/>
        <v>#VALUE!</v>
      </c>
      <c r="M213" s="36">
        <f t="shared" si="30"/>
        <v>0</v>
      </c>
      <c r="N213" s="23">
        <v>5.8613944938892791E-2</v>
      </c>
      <c r="O213" s="24" t="e">
        <f t="shared" si="31"/>
        <v>#VALUE!</v>
      </c>
      <c r="P213" s="36">
        <f t="shared" si="32"/>
        <v>0</v>
      </c>
      <c r="Q213" s="24" t="s">
        <v>232</v>
      </c>
      <c r="R213" s="24" t="e">
        <f t="shared" si="33"/>
        <v>#VALUE!</v>
      </c>
      <c r="S213" s="23" t="e">
        <f t="shared" si="27"/>
        <v>#VALUE!</v>
      </c>
      <c r="T213" s="23" t="e">
        <f t="shared" si="34"/>
        <v>#VALUE!</v>
      </c>
      <c r="U213" s="23" t="e">
        <f t="shared" si="35"/>
        <v>#VALUE!</v>
      </c>
    </row>
    <row r="214" spans="1:21" x14ac:dyDescent="0.25">
      <c r="A214" s="18" t="s">
        <v>449</v>
      </c>
      <c r="B214" s="18" t="s">
        <v>450</v>
      </c>
      <c r="C214" s="18" t="s">
        <v>40</v>
      </c>
      <c r="D214" s="18" t="s">
        <v>22</v>
      </c>
      <c r="E214" s="18" t="s">
        <v>54</v>
      </c>
      <c r="F214" s="20">
        <v>22763008</v>
      </c>
      <c r="G214" s="24">
        <v>33991041</v>
      </c>
      <c r="H214" s="21">
        <v>157</v>
      </c>
      <c r="I214" s="22">
        <v>1.1004620318530163</v>
      </c>
      <c r="J214" s="23">
        <f t="shared" si="28"/>
        <v>172.77253900092356</v>
      </c>
      <c r="K214" s="21">
        <v>44.844149999999999</v>
      </c>
      <c r="L214" s="24">
        <f t="shared" si="29"/>
        <v>18748047.587398503</v>
      </c>
      <c r="M214" s="36">
        <f t="shared" si="30"/>
        <v>18748047.587398503</v>
      </c>
      <c r="N214" s="23">
        <v>5.8613944938892791E-2</v>
      </c>
      <c r="O214" s="24">
        <f t="shared" si="31"/>
        <v>3239147782.9849787</v>
      </c>
      <c r="P214" s="36">
        <f t="shared" si="32"/>
        <v>3239147782.9849787</v>
      </c>
      <c r="Q214" s="24">
        <v>6972508226.6016922</v>
      </c>
      <c r="R214" s="24">
        <f t="shared" si="33"/>
        <v>104587623399.02539</v>
      </c>
      <c r="S214" s="23">
        <f t="shared" si="27"/>
        <v>3.0970660559203059E-2</v>
      </c>
      <c r="T214" s="23">
        <f t="shared" si="34"/>
        <v>1.0323553519734354E-2</v>
      </c>
      <c r="U214" s="23">
        <f t="shared" si="35"/>
        <v>9.2911981677609182E-2</v>
      </c>
    </row>
    <row r="215" spans="1:21" x14ac:dyDescent="0.25">
      <c r="A215" s="18" t="s">
        <v>451</v>
      </c>
      <c r="B215" s="18" t="s">
        <v>452</v>
      </c>
      <c r="C215" s="18" t="s">
        <v>40</v>
      </c>
      <c r="D215" s="18" t="s">
        <v>32</v>
      </c>
      <c r="F215" s="20">
        <v>13216985</v>
      </c>
      <c r="G215" s="20">
        <v>24956509</v>
      </c>
      <c r="H215" s="21">
        <v>326.89002158513563</v>
      </c>
      <c r="I215" s="22">
        <v>1.1004620318530163</v>
      </c>
      <c r="J215" s="23">
        <f t="shared" si="28"/>
        <v>359.73005734605471</v>
      </c>
      <c r="K215" s="21">
        <v>18.5</v>
      </c>
      <c r="L215" s="24">
        <f t="shared" si="29"/>
        <v>20339554.834999997</v>
      </c>
      <c r="M215" s="36">
        <f t="shared" si="30"/>
        <v>20339554.834999997</v>
      </c>
      <c r="N215" s="23">
        <v>2.7075295212977562E-2</v>
      </c>
      <c r="O215" s="24">
        <f t="shared" si="31"/>
        <v>7316749227.1877737</v>
      </c>
      <c r="P215" s="36">
        <f t="shared" si="32"/>
        <v>7316749227.1877737</v>
      </c>
      <c r="Q215" s="24">
        <v>4492889935.3189192</v>
      </c>
      <c r="R215" s="24">
        <f t="shared" si="33"/>
        <v>67393349029.783791</v>
      </c>
      <c r="S215" s="23">
        <f t="shared" si="27"/>
        <v>0.10856782356897285</v>
      </c>
      <c r="T215" s="23">
        <f t="shared" si="34"/>
        <v>3.618927452299095E-2</v>
      </c>
      <c r="U215" s="23">
        <f t="shared" si="35"/>
        <v>0.32570347070691852</v>
      </c>
    </row>
    <row r="216" spans="1:21" x14ac:dyDescent="0.25">
      <c r="A216" s="18" t="s">
        <v>453</v>
      </c>
      <c r="B216" s="18" t="s">
        <v>454</v>
      </c>
      <c r="C216" s="18" t="s">
        <v>14</v>
      </c>
      <c r="D216" s="18" t="s">
        <v>32</v>
      </c>
      <c r="F216" s="20">
        <v>13076978</v>
      </c>
      <c r="G216" s="20">
        <v>20292380</v>
      </c>
      <c r="H216" s="21">
        <v>326.89002158513563</v>
      </c>
      <c r="I216" s="22">
        <v>1.1004620318530163</v>
      </c>
      <c r="J216" s="23">
        <f t="shared" si="28"/>
        <v>359.73005734605471</v>
      </c>
      <c r="K216" s="21">
        <v>36.9</v>
      </c>
      <c r="L216" s="24">
        <f t="shared" si="29"/>
        <v>12804491.779999999</v>
      </c>
      <c r="M216" s="36">
        <f t="shared" si="30"/>
        <v>12804491.779999999</v>
      </c>
      <c r="N216" s="23">
        <v>2.7075295212977562E-2</v>
      </c>
      <c r="O216" s="24">
        <f t="shared" si="31"/>
        <v>4606160562.3064861</v>
      </c>
      <c r="P216" s="36">
        <f t="shared" si="32"/>
        <v>4606160562.3064861</v>
      </c>
      <c r="Q216" s="24">
        <v>996384461.46226156</v>
      </c>
      <c r="R216" s="24">
        <f t="shared" si="33"/>
        <v>14945766921.933924</v>
      </c>
      <c r="S216" s="23">
        <f t="shared" si="27"/>
        <v>0.30819164960659423</v>
      </c>
      <c r="T216" s="23">
        <f t="shared" si="34"/>
        <v>0.10273054986886473</v>
      </c>
      <c r="U216" s="23">
        <f t="shared" si="35"/>
        <v>0.92457494881978264</v>
      </c>
    </row>
  </sheetData>
  <autoFilter ref="A2:U216"/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L22" sqref="L22"/>
    </sheetView>
  </sheetViews>
  <sheetFormatPr baseColWidth="10" defaultRowHeight="15" x14ac:dyDescent="0.25"/>
  <cols>
    <col min="1" max="1" width="24.5703125" bestFit="1" customWidth="1"/>
    <col min="2" max="2" width="39.5703125" style="3" bestFit="1" customWidth="1"/>
    <col min="3" max="3" width="26.140625" style="3" bestFit="1" customWidth="1"/>
  </cols>
  <sheetData>
    <row r="1" spans="1:3" x14ac:dyDescent="0.25">
      <c r="B1" s="4" t="s">
        <v>512</v>
      </c>
      <c r="C1"/>
    </row>
    <row r="2" spans="1:3" x14ac:dyDescent="0.25">
      <c r="A2" s="4" t="s">
        <v>4</v>
      </c>
      <c r="B2" t="s">
        <v>569</v>
      </c>
      <c r="C2" t="s">
        <v>557</v>
      </c>
    </row>
    <row r="3" spans="1:3" x14ac:dyDescent="0.25">
      <c r="A3" t="s">
        <v>26</v>
      </c>
      <c r="B3" s="3">
        <v>2343158.600000002</v>
      </c>
      <c r="C3" s="3">
        <v>2352730980250.0024</v>
      </c>
    </row>
    <row r="4" spans="1:3" x14ac:dyDescent="0.25">
      <c r="A4" t="s">
        <v>19</v>
      </c>
      <c r="B4" s="3">
        <v>996624.64563288644</v>
      </c>
      <c r="C4" s="3">
        <v>333099739582.20978</v>
      </c>
    </row>
    <row r="5" spans="1:3" x14ac:dyDescent="0.25">
      <c r="A5" t="s">
        <v>35</v>
      </c>
      <c r="B5" s="3">
        <v>1901096.9627400003</v>
      </c>
      <c r="C5" s="3">
        <v>2215966147193.813</v>
      </c>
    </row>
    <row r="6" spans="1:3" x14ac:dyDescent="0.25">
      <c r="A6" t="s">
        <v>22</v>
      </c>
      <c r="B6" s="3">
        <v>152910.43959999995</v>
      </c>
      <c r="C6" s="3">
        <v>161511651827.49997</v>
      </c>
    </row>
    <row r="7" spans="1:3" x14ac:dyDescent="0.25">
      <c r="A7" t="s">
        <v>69</v>
      </c>
      <c r="B7" s="3">
        <v>0</v>
      </c>
      <c r="C7" s="3">
        <v>0</v>
      </c>
    </row>
    <row r="8" spans="1:3" x14ac:dyDescent="0.25">
      <c r="A8" t="s">
        <v>15</v>
      </c>
      <c r="B8" s="3">
        <v>2337638.7349</v>
      </c>
      <c r="C8" s="3">
        <v>2488990167113.125</v>
      </c>
    </row>
    <row r="9" spans="1:3" x14ac:dyDescent="0.25">
      <c r="A9" t="s">
        <v>32</v>
      </c>
      <c r="B9" s="3">
        <v>202850.38950000002</v>
      </c>
      <c r="C9" s="3">
        <v>256732524210.9375</v>
      </c>
    </row>
    <row r="10" spans="1:3" x14ac:dyDescent="0.25">
      <c r="A10" t="s">
        <v>511</v>
      </c>
      <c r="B10" s="3">
        <v>7934279.7723728884</v>
      </c>
      <c r="C10" s="3">
        <v>7809031210177.5879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F17" sqref="F17"/>
    </sheetView>
  </sheetViews>
  <sheetFormatPr baseColWidth="10" defaultRowHeight="15" x14ac:dyDescent="0.25"/>
  <cols>
    <col min="1" max="1" width="24.5703125" bestFit="1" customWidth="1"/>
    <col min="2" max="2" width="19" style="3" bestFit="1" customWidth="1"/>
    <col min="3" max="3" width="17.42578125" style="3" bestFit="1" customWidth="1"/>
    <col min="4" max="4" width="19" style="3" bestFit="1" customWidth="1"/>
    <col min="5" max="5" width="14.7109375" style="3" bestFit="1" customWidth="1"/>
    <col min="6" max="6" width="19" style="3" bestFit="1" customWidth="1"/>
    <col min="7" max="7" width="14.7109375" style="3" bestFit="1" customWidth="1"/>
    <col min="8" max="8" width="19" style="3" bestFit="1" customWidth="1"/>
    <col min="9" max="9" width="16.42578125" style="3" bestFit="1" customWidth="1"/>
    <col min="10" max="10" width="18.7109375" style="3" bestFit="1" customWidth="1"/>
    <col min="11" max="11" width="16.42578125" style="3" bestFit="1" customWidth="1"/>
    <col min="12" max="12" width="23.28515625" customWidth="1"/>
    <col min="13" max="13" width="23.7109375" bestFit="1" customWidth="1"/>
    <col min="14" max="14" width="18.140625" customWidth="1"/>
  </cols>
  <sheetData>
    <row r="1" spans="1:14" x14ac:dyDescent="0.25">
      <c r="B1" s="9" t="s">
        <v>0</v>
      </c>
      <c r="C1" s="9"/>
      <c r="D1" s="9" t="s">
        <v>513</v>
      </c>
      <c r="E1" s="9"/>
      <c r="F1" s="9" t="s">
        <v>477</v>
      </c>
      <c r="G1" s="9"/>
      <c r="H1" s="9" t="s">
        <v>487</v>
      </c>
      <c r="I1" s="9"/>
      <c r="J1" s="9" t="s">
        <v>502</v>
      </c>
      <c r="K1" s="9"/>
    </row>
    <row r="2" spans="1:14" x14ac:dyDescent="0.25">
      <c r="A2" t="s">
        <v>4</v>
      </c>
      <c r="B2" t="s">
        <v>514</v>
      </c>
      <c r="C2" t="s">
        <v>475</v>
      </c>
      <c r="D2" t="s">
        <v>514</v>
      </c>
      <c r="E2" t="s">
        <v>475</v>
      </c>
      <c r="F2" t="s">
        <v>514</v>
      </c>
      <c r="G2" t="s">
        <v>475</v>
      </c>
      <c r="H2" t="s">
        <v>514</v>
      </c>
      <c r="I2" t="s">
        <v>475</v>
      </c>
      <c r="J2" t="s">
        <v>515</v>
      </c>
      <c r="K2" t="s">
        <v>475</v>
      </c>
      <c r="L2" t="s">
        <v>528</v>
      </c>
      <c r="M2" t="s">
        <v>552</v>
      </c>
      <c r="N2" t="s">
        <v>553</v>
      </c>
    </row>
    <row r="3" spans="1:14" x14ac:dyDescent="0.25">
      <c r="A3" s="2" t="s">
        <v>26</v>
      </c>
      <c r="B3" s="3">
        <f>VLOOKUP(Tabelle3[[#This Row],[Region]],'Electricity Pivot'!A:C,2,0)</f>
        <v>130750132.66747692</v>
      </c>
      <c r="C3" s="3">
        <f>VLOOKUP(Tabelle3[[#This Row],[Region]],'Electricity Pivot'!A:C,3,0)</f>
        <v>22590032395.667591</v>
      </c>
      <c r="D3" s="3">
        <f>VLOOKUP(Tabelle3[[#This Row],[Region]],'Water Pivot'!A:C,2,0)</f>
        <v>221110150.64000005</v>
      </c>
      <c r="E3" s="3">
        <f>VLOOKUP(Tabelle3[[#This Row],[Region]],'Water Pivot'!A:C,3,0)</f>
        <v>95748113882.167282</v>
      </c>
      <c r="F3" s="3">
        <f>VLOOKUP(Tabelle3[[#This Row],[Region]],'Sanitation Pivot'!A:C,2,0)</f>
        <v>753836287.05500007</v>
      </c>
      <c r="G3" s="3">
        <f>VLOOKUP(Tabelle3[[#This Row],[Region]],'Sanitation Pivot'!A:C,3,0)</f>
        <v>88869922285.245529</v>
      </c>
      <c r="H3" s="3">
        <f>VLOOKUP(Tabelle3[[#This Row],[Region]],'ICT Pivot'!A:C,2,0)</f>
        <v>716457117.37252557</v>
      </c>
      <c r="I3" s="3">
        <f>VLOOKUP(Tabelle3[[#This Row],[Region]],'ICT Pivot'!A:C,3,0)</f>
        <v>564209979930.86353</v>
      </c>
      <c r="J3" s="3">
        <f>VLOOKUP(Tabelle3[[#This Row],[Region]],'Roads Pivot'!A:C,2,0)</f>
        <v>2343158.600000002</v>
      </c>
      <c r="K3" s="3">
        <f>VLOOKUP(Tabelle3[[#This Row],[Region]],'Roads Pivot'!A:C,3,0)</f>
        <v>2352730980250.0024</v>
      </c>
      <c r="L3" s="3">
        <f t="shared" ref="L3:L9" si="0">C3+E3+G3+I3+K3</f>
        <v>3124149028743.9463</v>
      </c>
      <c r="M3" s="3">
        <f t="shared" ref="M3:M9" si="1">B3+D3+F3+H3+J3</f>
        <v>1824496846.3350024</v>
      </c>
      <c r="N3" s="3">
        <f>Tabelle3[[#This Row],[Sum of costs]]/Tabelle3[[#This Row],[Spalte1]]</f>
        <v>1712.3345732384512</v>
      </c>
    </row>
    <row r="4" spans="1:14" x14ac:dyDescent="0.25">
      <c r="A4" s="2" t="s">
        <v>19</v>
      </c>
      <c r="B4" s="3">
        <f>VLOOKUP(Tabelle3[[#This Row],[Region]],'Electricity Pivot'!A:C,2,0)</f>
        <v>160338.34900000016</v>
      </c>
      <c r="C4" s="3">
        <f>VLOOKUP(Tabelle3[[#This Row],[Region]],'Electricity Pivot'!A:C,3,0)</f>
        <v>0</v>
      </c>
      <c r="D4" s="3">
        <f>VLOOKUP(Tabelle3[[#This Row],[Region]],'Water Pivot'!A:C,2,0)</f>
        <v>19877491.030000001</v>
      </c>
      <c r="E4" s="3">
        <f>VLOOKUP(Tabelle3[[#This Row],[Region]],'Water Pivot'!A:C,3,0)</f>
        <v>5655197918.447938</v>
      </c>
      <c r="F4" s="3">
        <f>VLOOKUP(Tabelle3[[#This Row],[Region]],'Sanitation Pivot'!A:C,2,0)</f>
        <v>56495775.493999995</v>
      </c>
      <c r="G4" s="3">
        <f>VLOOKUP(Tabelle3[[#This Row],[Region]],'Sanitation Pivot'!A:C,3,0)</f>
        <v>12344275187.457644</v>
      </c>
      <c r="H4" s="3">
        <f>VLOOKUP(Tabelle3[[#This Row],[Region]],'ICT Pivot'!A:C,2,0)</f>
        <v>134460030.85619199</v>
      </c>
      <c r="I4" s="3">
        <f>VLOOKUP(Tabelle3[[#This Row],[Region]],'ICT Pivot'!A:C,3,0)</f>
        <v>105887274299.25121</v>
      </c>
      <c r="J4" s="3">
        <f>VLOOKUP(Tabelle3[[#This Row],[Region]],'Roads Pivot'!A:C,2,0)</f>
        <v>996624.64563288644</v>
      </c>
      <c r="K4" s="3">
        <f>VLOOKUP(Tabelle3[[#This Row],[Region]],'Roads Pivot'!A:C,3,0)</f>
        <v>333099739582.20978</v>
      </c>
      <c r="L4" s="3">
        <f t="shared" si="0"/>
        <v>456986486987.36658</v>
      </c>
      <c r="M4" s="3">
        <f t="shared" si="1"/>
        <v>211990260.37482488</v>
      </c>
      <c r="N4" s="3">
        <f>Tabelle3[[#This Row],[Sum of costs]]/Tabelle3[[#This Row],[Spalte1]]</f>
        <v>2155.6956729019448</v>
      </c>
    </row>
    <row r="5" spans="1:14" x14ac:dyDescent="0.25">
      <c r="A5" s="2" t="s">
        <v>35</v>
      </c>
      <c r="B5" s="3">
        <f>VLOOKUP(Tabelle3[[#This Row],[Region]],'Electricity Pivot'!A:C,2,0)</f>
        <v>38784227.932470389</v>
      </c>
      <c r="C5" s="3">
        <f>VLOOKUP(Tabelle3[[#This Row],[Region]],'Electricity Pivot'!A:C,3,0)</f>
        <v>13951852538.270027</v>
      </c>
      <c r="D5" s="3">
        <f>VLOOKUP(Tabelle3[[#This Row],[Region]],'Water Pivot'!A:C,2,0)</f>
        <v>45665602.545999952</v>
      </c>
      <c r="E5" s="3">
        <f>VLOOKUP(Tabelle3[[#This Row],[Region]],'Water Pivot'!A:C,3,0)</f>
        <v>29869058446.634636</v>
      </c>
      <c r="F5" s="3">
        <f>VLOOKUP(Tabelle3[[#This Row],[Region]],'Sanitation Pivot'!A:C,2,0)</f>
        <v>133112704.62599999</v>
      </c>
      <c r="G5" s="3">
        <f>VLOOKUP(Tabelle3[[#This Row],[Region]],'Sanitation Pivot'!A:C,3,0)</f>
        <v>41259154244.385712</v>
      </c>
      <c r="H5" s="3">
        <f>VLOOKUP(Tabelle3[[#This Row],[Region]],'ICT Pivot'!A:C,2,0)</f>
        <v>166255331.41669816</v>
      </c>
      <c r="I5" s="3">
        <f>VLOOKUP(Tabelle3[[#This Row],[Region]],'ICT Pivot'!A:C,3,0)</f>
        <v>130926073490.64978</v>
      </c>
      <c r="J5" s="3">
        <f>VLOOKUP(Tabelle3[[#This Row],[Region]],'Roads Pivot'!A:C,2,0)</f>
        <v>1901096.9627400003</v>
      </c>
      <c r="K5" s="3">
        <f>VLOOKUP(Tabelle3[[#This Row],[Region]],'Roads Pivot'!A:C,3,0)</f>
        <v>2215966147193.813</v>
      </c>
      <c r="L5" s="3">
        <f t="shared" si="0"/>
        <v>2431972285913.7529</v>
      </c>
      <c r="M5" s="3">
        <f t="shared" si="1"/>
        <v>385718963.48390847</v>
      </c>
      <c r="N5" s="3">
        <f>Tabelle3[[#This Row],[Sum of costs]]/Tabelle3[[#This Row],[Spalte1]]</f>
        <v>6305.036869195078</v>
      </c>
    </row>
    <row r="6" spans="1:14" x14ac:dyDescent="0.25">
      <c r="A6" s="2" t="s">
        <v>22</v>
      </c>
      <c r="B6" s="3">
        <f>VLOOKUP(Tabelle3[[#This Row],[Region]],'Electricity Pivot'!A:C,2,0)</f>
        <v>28903240.805502385</v>
      </c>
      <c r="C6" s="3">
        <f>VLOOKUP(Tabelle3[[#This Row],[Region]],'Electricity Pivot'!A:C,3,0)</f>
        <v>5170087152.7712011</v>
      </c>
      <c r="D6" s="3">
        <f>VLOOKUP(Tabelle3[[#This Row],[Region]],'Water Pivot'!A:C,2,0)</f>
        <v>48301673.123999983</v>
      </c>
      <c r="E6" s="3">
        <f>VLOOKUP(Tabelle3[[#This Row],[Region]],'Water Pivot'!A:C,3,0)</f>
        <v>19392327872.681896</v>
      </c>
      <c r="F6" s="3">
        <f>VLOOKUP(Tabelle3[[#This Row],[Region]],'Sanitation Pivot'!A:C,2,0)</f>
        <v>57572076.72299999</v>
      </c>
      <c r="G6" s="3">
        <f>VLOOKUP(Tabelle3[[#This Row],[Region]],'Sanitation Pivot'!A:C,3,0)</f>
        <v>13970917213.302017</v>
      </c>
      <c r="H6" s="3">
        <f>VLOOKUP(Tabelle3[[#This Row],[Region]],'ICT Pivot'!A:C,2,0)</f>
        <v>69189498.328606606</v>
      </c>
      <c r="I6" s="3">
        <f>VLOOKUP(Tabelle3[[#This Row],[Region]],'ICT Pivot'!A:C,3,0)</f>
        <v>54486729933.777702</v>
      </c>
      <c r="J6" s="3">
        <f>VLOOKUP(Tabelle3[[#This Row],[Region]],'Roads Pivot'!A:C,2,0)</f>
        <v>152910.43959999995</v>
      </c>
      <c r="K6" s="3">
        <f>VLOOKUP(Tabelle3[[#This Row],[Region]],'Roads Pivot'!A:C,3,0)</f>
        <v>161511651827.49997</v>
      </c>
      <c r="L6" s="3">
        <f t="shared" si="0"/>
        <v>254531714000.03278</v>
      </c>
      <c r="M6" s="3">
        <f t="shared" si="1"/>
        <v>204119399.42070895</v>
      </c>
      <c r="N6" s="3">
        <f>Tabelle3[[#This Row],[Sum of costs]]/Tabelle3[[#This Row],[Spalte1]]</f>
        <v>1246.9746370134051</v>
      </c>
    </row>
    <row r="7" spans="1:14" x14ac:dyDescent="0.25">
      <c r="A7" s="2" t="s">
        <v>69</v>
      </c>
      <c r="B7" s="6">
        <f>VLOOKUP(Tabelle3[[#This Row],[Region]],'Electricity Pivot'!A:C,2,0)</f>
        <v>0</v>
      </c>
      <c r="C7" s="3">
        <f>VLOOKUP(Tabelle3[[#This Row],[Region]],'Electricity Pivot'!A:C,3,0)</f>
        <v>0</v>
      </c>
      <c r="D7" s="3">
        <f>VLOOKUP(Tabelle3[[#This Row],[Region]],'Water Pivot'!A:C,2,0)</f>
        <v>3344893.4640000029</v>
      </c>
      <c r="E7" s="3">
        <f>VLOOKUP(Tabelle3[[#This Row],[Region]],'Water Pivot'!A:C,3,0)</f>
        <v>0</v>
      </c>
      <c r="F7" s="3">
        <f>VLOOKUP(Tabelle3[[#This Row],[Region]],'Sanitation Pivot'!A:C,2,0)</f>
        <v>443862.82399996015</v>
      </c>
      <c r="G7" s="3">
        <f>VLOOKUP(Tabelle3[[#This Row],[Region]],'Sanitation Pivot'!A:C,3,0)</f>
        <v>0</v>
      </c>
      <c r="H7" s="3">
        <f>VLOOKUP(Tabelle3[[#This Row],[Region]],'ICT Pivot'!A:C,2,0)</f>
        <v>4341766.9468928799</v>
      </c>
      <c r="I7" s="3">
        <f>VLOOKUP(Tabelle3[[#This Row],[Region]],'ICT Pivot'!A:C,3,0)</f>
        <v>3419141470.6781435</v>
      </c>
      <c r="J7" s="3">
        <f>VLOOKUP(Tabelle3[[#This Row],[Region]],'Roads Pivot'!A:C,2,0)</f>
        <v>0</v>
      </c>
      <c r="K7" s="3">
        <f>VLOOKUP(Tabelle3[[#This Row],[Region]],'Roads Pivot'!A:C,3,0)</f>
        <v>0</v>
      </c>
      <c r="L7" s="3">
        <f t="shared" si="0"/>
        <v>3419141470.6781435</v>
      </c>
      <c r="M7" s="3">
        <f t="shared" si="1"/>
        <v>8130523.2348928433</v>
      </c>
      <c r="N7" s="3">
        <f>Tabelle3[[#This Row],[Sum of costs]]/Tabelle3[[#This Row],[Spalte1]]</f>
        <v>420.53154168536196</v>
      </c>
    </row>
    <row r="8" spans="1:14" x14ac:dyDescent="0.25">
      <c r="A8" s="2" t="s">
        <v>15</v>
      </c>
      <c r="B8" s="3">
        <f>VLOOKUP(Tabelle3[[#This Row],[Region]],'Electricity Pivot'!A:C,2,0)</f>
        <v>509172693.52340001</v>
      </c>
      <c r="C8" s="3">
        <f>VLOOKUP(Tabelle3[[#This Row],[Region]],'Electricity Pivot'!A:C,3,0)</f>
        <v>35860813880.245369</v>
      </c>
      <c r="D8" s="3">
        <f>VLOOKUP(Tabelle3[[#This Row],[Region]],'Water Pivot'!A:C,2,0)</f>
        <v>213589398.21599993</v>
      </c>
      <c r="E8" s="3">
        <f>VLOOKUP(Tabelle3[[#This Row],[Region]],'Water Pivot'!A:C,3,0)</f>
        <v>5044455402.7951717</v>
      </c>
      <c r="F8" s="3">
        <f>VLOOKUP(Tabelle3[[#This Row],[Region]],'Sanitation Pivot'!A:C,2,0)</f>
        <v>1232667893.3940001</v>
      </c>
      <c r="G8" s="3">
        <f>VLOOKUP(Tabelle3[[#This Row],[Region]],'Sanitation Pivot'!A:C,3,0)</f>
        <v>105213300933.22096</v>
      </c>
      <c r="H8" s="3">
        <f>VLOOKUP(Tabelle3[[#This Row],[Region]],'ICT Pivot'!A:C,2,0)</f>
        <v>1349397224.593873</v>
      </c>
      <c r="I8" s="3">
        <f>VLOOKUP(Tabelle3[[#This Row],[Region]],'ICT Pivot'!A:C,3,0)</f>
        <v>1062650314367.6752</v>
      </c>
      <c r="J8" s="3">
        <f>VLOOKUP(Tabelle3[[#This Row],[Region]],'Roads Pivot'!A:C,2,0)</f>
        <v>2337638.7349</v>
      </c>
      <c r="K8" s="3">
        <f>VLOOKUP(Tabelle3[[#This Row],[Region]],'Roads Pivot'!A:C,3,0)</f>
        <v>2488990167113.125</v>
      </c>
      <c r="L8" s="3">
        <f t="shared" si="0"/>
        <v>3697759051697.0615</v>
      </c>
      <c r="M8" s="3">
        <f t="shared" si="1"/>
        <v>3307164848.462173</v>
      </c>
      <c r="N8" s="3">
        <f>Tabelle3[[#This Row],[Sum of costs]]/Tabelle3[[#This Row],[Spalte1]]</f>
        <v>1118.1054532000467</v>
      </c>
    </row>
    <row r="9" spans="1:14" x14ac:dyDescent="0.25">
      <c r="A9" s="2" t="s">
        <v>32</v>
      </c>
      <c r="B9" s="3">
        <f>VLOOKUP(Tabelle3[[#This Row],[Region]],'Electricity Pivot'!A:C,2,0)</f>
        <v>988389899.86516631</v>
      </c>
      <c r="C9" s="3">
        <f>VLOOKUP(Tabelle3[[#This Row],[Region]],'Electricity Pivot'!A:C,3,0)</f>
        <v>355553555358.75751</v>
      </c>
      <c r="D9" s="3">
        <f>VLOOKUP(Tabelle3[[#This Row],[Region]],'Water Pivot'!A:C,2,0)</f>
        <v>531629561.31</v>
      </c>
      <c r="E9" s="3">
        <f>VLOOKUP(Tabelle3[[#This Row],[Region]],'Water Pivot'!A:C,3,0)</f>
        <v>37612785910.046417</v>
      </c>
      <c r="F9" s="3">
        <f>VLOOKUP(Tabelle3[[#This Row],[Region]],'Sanitation Pivot'!A:C,2,0)</f>
        <v>1000119046.402</v>
      </c>
      <c r="G9" s="3">
        <f>VLOOKUP(Tabelle3[[#This Row],[Region]],'Sanitation Pivot'!A:C,3,0)</f>
        <v>151834576701.02872</v>
      </c>
      <c r="H9" s="3">
        <f>VLOOKUP(Tabelle3[[#This Row],[Region]],'ICT Pivot'!A:C,2,0)</f>
        <v>863955735.48804224</v>
      </c>
      <c r="I9" s="3">
        <f>VLOOKUP(Tabelle3[[#This Row],[Region]],'ICT Pivot'!A:C,3,0)</f>
        <v>680365141696.83325</v>
      </c>
      <c r="J9" s="3">
        <f>VLOOKUP(Tabelle3[[#This Row],[Region]],'Roads Pivot'!A:C,2,0)</f>
        <v>202850.38950000002</v>
      </c>
      <c r="K9" s="3">
        <f>VLOOKUP(Tabelle3[[#This Row],[Region]],'Roads Pivot'!A:C,3,0)</f>
        <v>256732524210.9375</v>
      </c>
      <c r="L9" s="3">
        <f t="shared" si="0"/>
        <v>1482098583877.6035</v>
      </c>
      <c r="M9" s="3">
        <f t="shared" si="1"/>
        <v>3384297093.4547091</v>
      </c>
      <c r="N9" s="3">
        <f>Tabelle3[[#This Row],[Sum of costs]]/Tabelle3[[#This Row],[Spalte1]]</f>
        <v>437.9339469764663</v>
      </c>
    </row>
    <row r="10" spans="1:14" x14ac:dyDescent="0.25">
      <c r="B10" s="3">
        <f>SUBTOTAL(109,Tabelle3[Total Costs])</f>
        <v>1696160533.1430159</v>
      </c>
      <c r="C10" s="3">
        <f>SUBTOTAL(109,Tabelle3[pop w/o access 2030])</f>
        <v>433126341325.71167</v>
      </c>
      <c r="D10" s="3">
        <f>SUBTOTAL(109,Tabelle3[Total Costs2])</f>
        <v>1083518770.3299999</v>
      </c>
      <c r="E10" s="3">
        <f>SUBTOTAL(109,Tabelle3[pop w/o access 20302])</f>
        <v>193321939432.77332</v>
      </c>
      <c r="F10" s="3">
        <f>SUBTOTAL(109,Tabelle3[Total Costs4])</f>
        <v>3234247646.5180001</v>
      </c>
      <c r="G10" s="3">
        <f>SUBTOTAL(109,Tabelle3[pop w/o access 20305])</f>
        <v>413492146564.6405</v>
      </c>
      <c r="H10" s="3">
        <f>SUBTOTAL(109,Tabelle3[Total Costs6])</f>
        <v>3304056705.002831</v>
      </c>
      <c r="I10" s="3">
        <f>SUBTOTAL(109,Tabelle3[pop w/o access 20307])</f>
        <v>2601944655189.7285</v>
      </c>
      <c r="J10" s="3">
        <f>SUBTOTAL(109,Tabelle3[Total Costs8])</f>
        <v>7934279.7723728884</v>
      </c>
      <c r="K10" s="3">
        <f>SUBTOTAL(109,Tabelle3[unpaved km 2010])</f>
        <v>7809031210177.5879</v>
      </c>
      <c r="L10" s="3">
        <f>SUBTOTAL(109,Tabelle3[Sum of costs])</f>
        <v>11450916292690.443</v>
      </c>
    </row>
  </sheetData>
  <mergeCells count="5">
    <mergeCell ref="B1:C1"/>
    <mergeCell ref="D1:E1"/>
    <mergeCell ref="F1:G1"/>
    <mergeCell ref="H1:I1"/>
    <mergeCell ref="J1:K1"/>
  </mergeCells>
  <pageMargins left="0.7" right="0.7" top="0.78740157499999996" bottom="0.78740157499999996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workbookViewId="0">
      <selection activeCell="J33" sqref="J33"/>
    </sheetView>
  </sheetViews>
  <sheetFormatPr baseColWidth="10" defaultRowHeight="15" x14ac:dyDescent="0.25"/>
  <cols>
    <col min="9" max="9" width="14.7109375" bestFit="1" customWidth="1"/>
    <col min="11" max="11" width="24.5703125" customWidth="1"/>
    <col min="12" max="12" width="25.85546875" style="3" bestFit="1" customWidth="1"/>
  </cols>
  <sheetData>
    <row r="1" spans="1:12" x14ac:dyDescent="0.25">
      <c r="A1" t="s">
        <v>516</v>
      </c>
      <c r="K1" s="4" t="s">
        <v>510</v>
      </c>
      <c r="L1" s="3" t="s">
        <v>527</v>
      </c>
    </row>
    <row r="2" spans="1:12" x14ac:dyDescent="0.25">
      <c r="A2" t="s">
        <v>1</v>
      </c>
      <c r="B2" t="s">
        <v>2</v>
      </c>
      <c r="C2" t="s">
        <v>4</v>
      </c>
      <c r="D2" t="s">
        <v>517</v>
      </c>
      <c r="E2" t="s">
        <v>518</v>
      </c>
      <c r="F2" t="s">
        <v>519</v>
      </c>
      <c r="G2" t="s">
        <v>520</v>
      </c>
      <c r="H2" t="s">
        <v>521</v>
      </c>
      <c r="I2" t="s">
        <v>522</v>
      </c>
      <c r="K2" s="5" t="s">
        <v>26</v>
      </c>
      <c r="L2" s="3">
        <v>9983567627902.957</v>
      </c>
    </row>
    <row r="3" spans="1:12" x14ac:dyDescent="0.25">
      <c r="A3" t="s">
        <v>12</v>
      </c>
      <c r="B3" t="s">
        <v>13</v>
      </c>
      <c r="C3" t="s">
        <v>15</v>
      </c>
      <c r="D3" t="s">
        <v>523</v>
      </c>
      <c r="E3" t="s">
        <v>524</v>
      </c>
      <c r="F3">
        <v>1.728279518717468</v>
      </c>
      <c r="G3">
        <v>15936784436.181129</v>
      </c>
      <c r="H3">
        <v>275432181.35267156</v>
      </c>
      <c r="I3">
        <v>4131482720.2900734</v>
      </c>
      <c r="K3" s="5" t="s">
        <v>19</v>
      </c>
      <c r="L3" s="3">
        <v>8920772534953.5137</v>
      </c>
    </row>
    <row r="4" spans="1:12" x14ac:dyDescent="0.25">
      <c r="A4" t="s">
        <v>16</v>
      </c>
      <c r="B4" t="s">
        <v>17</v>
      </c>
      <c r="C4" t="s">
        <v>19</v>
      </c>
      <c r="D4" t="s">
        <v>523</v>
      </c>
      <c r="E4" t="s">
        <v>524</v>
      </c>
      <c r="F4">
        <v>3.4701426951682657</v>
      </c>
      <c r="G4">
        <v>11858166294.840921</v>
      </c>
      <c r="H4">
        <v>411495291.46132761</v>
      </c>
      <c r="I4">
        <v>6172429371.9199142</v>
      </c>
      <c r="K4" s="5" t="s">
        <v>35</v>
      </c>
      <c r="L4" s="3">
        <v>6610463804643.4453</v>
      </c>
    </row>
    <row r="5" spans="1:12" x14ac:dyDescent="0.25">
      <c r="A5" t="s">
        <v>20</v>
      </c>
      <c r="B5" t="s">
        <v>21</v>
      </c>
      <c r="C5" t="s">
        <v>22</v>
      </c>
      <c r="D5" t="s">
        <v>523</v>
      </c>
      <c r="E5" t="s">
        <v>524</v>
      </c>
      <c r="F5">
        <v>25.613069014385857</v>
      </c>
      <c r="G5">
        <v>161207304960.4552</v>
      </c>
      <c r="H5">
        <v>41290138275.752869</v>
      </c>
      <c r="I5">
        <v>619352074136.29297</v>
      </c>
      <c r="K5" s="5" t="s">
        <v>22</v>
      </c>
      <c r="L5" s="3">
        <v>10363895225364.766</v>
      </c>
    </row>
    <row r="6" spans="1:12" x14ac:dyDescent="0.25">
      <c r="A6" t="s">
        <v>24</v>
      </c>
      <c r="B6" t="s">
        <v>25</v>
      </c>
      <c r="C6" t="s">
        <v>26</v>
      </c>
      <c r="D6" t="s">
        <v>523</v>
      </c>
      <c r="E6" t="s">
        <v>524</v>
      </c>
      <c r="F6" t="s">
        <v>470</v>
      </c>
      <c r="G6" t="s">
        <v>470</v>
      </c>
      <c r="K6" s="5" t="s">
        <v>69</v>
      </c>
      <c r="L6" s="3">
        <v>3754401396774.9941</v>
      </c>
    </row>
    <row r="7" spans="1:12" x14ac:dyDescent="0.25">
      <c r="A7" t="s">
        <v>27</v>
      </c>
      <c r="B7" t="s">
        <v>28</v>
      </c>
      <c r="C7" t="s">
        <v>19</v>
      </c>
      <c r="D7" t="s">
        <v>523</v>
      </c>
      <c r="E7" t="s">
        <v>524</v>
      </c>
      <c r="F7" t="s">
        <v>470</v>
      </c>
      <c r="G7" t="s">
        <v>470</v>
      </c>
      <c r="K7" s="5" t="s">
        <v>15</v>
      </c>
      <c r="L7" s="3">
        <v>1829623959552.8228</v>
      </c>
    </row>
    <row r="8" spans="1:12" x14ac:dyDescent="0.25">
      <c r="A8" t="s">
        <v>30</v>
      </c>
      <c r="B8" t="s">
        <v>31</v>
      </c>
      <c r="C8" t="s">
        <v>32</v>
      </c>
      <c r="D8" t="s">
        <v>523</v>
      </c>
      <c r="E8" t="s">
        <v>524</v>
      </c>
      <c r="F8">
        <v>46.179566168728648</v>
      </c>
      <c r="G8">
        <v>82470894868.333679</v>
      </c>
      <c r="H8">
        <v>38084701465.664787</v>
      </c>
      <c r="I8">
        <v>571270521984.9718</v>
      </c>
      <c r="K8" s="5" t="s">
        <v>32</v>
      </c>
      <c r="L8" s="3">
        <v>3847875041949.4258</v>
      </c>
    </row>
    <row r="9" spans="1:12" x14ac:dyDescent="0.25">
      <c r="A9" t="s">
        <v>33</v>
      </c>
      <c r="B9" t="s">
        <v>34</v>
      </c>
      <c r="C9" t="s">
        <v>35</v>
      </c>
      <c r="D9" t="s">
        <v>523</v>
      </c>
      <c r="E9" t="s">
        <v>524</v>
      </c>
      <c r="F9">
        <v>0</v>
      </c>
      <c r="G9">
        <v>1161528615.9259257</v>
      </c>
      <c r="H9">
        <v>0</v>
      </c>
      <c r="I9">
        <v>0</v>
      </c>
      <c r="K9" s="5" t="s">
        <v>511</v>
      </c>
      <c r="L9" s="3">
        <v>45310599591141.922</v>
      </c>
    </row>
    <row r="10" spans="1:12" x14ac:dyDescent="0.25">
      <c r="A10" t="s">
        <v>36</v>
      </c>
      <c r="B10" t="s">
        <v>37</v>
      </c>
      <c r="C10" t="s">
        <v>35</v>
      </c>
      <c r="D10" t="s">
        <v>523</v>
      </c>
      <c r="E10" t="s">
        <v>524</v>
      </c>
      <c r="F10">
        <v>6.5062490962639679</v>
      </c>
      <c r="G10">
        <v>368736062143.66882</v>
      </c>
      <c r="H10">
        <v>23990886710.821796</v>
      </c>
      <c r="I10">
        <v>359863300662.32697</v>
      </c>
    </row>
    <row r="11" spans="1:12" x14ac:dyDescent="0.25">
      <c r="A11" t="s">
        <v>38</v>
      </c>
      <c r="B11" t="s">
        <v>39</v>
      </c>
      <c r="C11" t="s">
        <v>19</v>
      </c>
      <c r="D11" t="s">
        <v>523</v>
      </c>
      <c r="E11" t="s">
        <v>524</v>
      </c>
      <c r="F11">
        <v>3.7459484187502801</v>
      </c>
      <c r="G11">
        <v>9260297329.1227322</v>
      </c>
      <c r="H11">
        <v>346885961.37184739</v>
      </c>
      <c r="I11">
        <v>5203289420.5777111</v>
      </c>
    </row>
    <row r="12" spans="1:12" x14ac:dyDescent="0.25">
      <c r="A12" t="s">
        <v>41</v>
      </c>
      <c r="B12" t="s">
        <v>42</v>
      </c>
      <c r="C12" t="s">
        <v>35</v>
      </c>
      <c r="D12" t="s">
        <v>523</v>
      </c>
      <c r="E12" t="s">
        <v>524</v>
      </c>
      <c r="F12">
        <v>3.7830099341938299E-3</v>
      </c>
      <c r="G12">
        <v>2467703910.6145253</v>
      </c>
      <c r="H12">
        <v>93353.484085037111</v>
      </c>
      <c r="I12">
        <v>1400302.2612755566</v>
      </c>
    </row>
    <row r="13" spans="1:12" x14ac:dyDescent="0.25">
      <c r="A13" t="s">
        <v>43</v>
      </c>
      <c r="B13" t="s">
        <v>44</v>
      </c>
      <c r="C13" t="s">
        <v>26</v>
      </c>
      <c r="D13" t="s">
        <v>523</v>
      </c>
      <c r="E13" t="s">
        <v>524</v>
      </c>
      <c r="F13">
        <v>9.7652213736062734</v>
      </c>
      <c r="G13">
        <v>1141793593834.2456</v>
      </c>
      <c r="H13">
        <v>111498672067.56895</v>
      </c>
      <c r="I13">
        <v>1672480081013.5344</v>
      </c>
    </row>
    <row r="14" spans="1:12" x14ac:dyDescent="0.25">
      <c r="A14" t="s">
        <v>46</v>
      </c>
      <c r="B14" t="s">
        <v>47</v>
      </c>
      <c r="C14" t="s">
        <v>19</v>
      </c>
      <c r="D14" t="s">
        <v>523</v>
      </c>
      <c r="E14" t="s">
        <v>524</v>
      </c>
      <c r="F14">
        <v>0.4530519499627883</v>
      </c>
      <c r="G14">
        <v>377679836476.59576</v>
      </c>
      <c r="H14">
        <v>1711085863.7734871</v>
      </c>
      <c r="I14">
        <v>25666287956.602306</v>
      </c>
    </row>
    <row r="15" spans="1:12" x14ac:dyDescent="0.25">
      <c r="A15" t="s">
        <v>48</v>
      </c>
      <c r="B15" t="s">
        <v>49</v>
      </c>
      <c r="C15" t="s">
        <v>19</v>
      </c>
      <c r="D15" t="s">
        <v>523</v>
      </c>
      <c r="E15" t="s">
        <v>524</v>
      </c>
      <c r="F15">
        <v>46.133990808979689</v>
      </c>
      <c r="G15">
        <v>52905998878.714264</v>
      </c>
      <c r="H15">
        <v>24407648660.104939</v>
      </c>
      <c r="I15">
        <v>366114729901.5741</v>
      </c>
    </row>
    <row r="16" spans="1:12" x14ac:dyDescent="0.25">
      <c r="A16" t="s">
        <v>50</v>
      </c>
      <c r="B16" t="s">
        <v>51</v>
      </c>
      <c r="C16" t="s">
        <v>35</v>
      </c>
      <c r="D16" t="s">
        <v>523</v>
      </c>
      <c r="E16" t="s">
        <v>524</v>
      </c>
      <c r="F16">
        <v>3.3619312453682E-2</v>
      </c>
      <c r="G16">
        <v>7888087000</v>
      </c>
      <c r="H16">
        <v>2651920.615148271</v>
      </c>
      <c r="I16">
        <v>39778809.227224067</v>
      </c>
    </row>
    <row r="17" spans="1:9" x14ac:dyDescent="0.25">
      <c r="A17" t="s">
        <v>52</v>
      </c>
      <c r="B17" t="s">
        <v>53</v>
      </c>
      <c r="C17" t="s">
        <v>22</v>
      </c>
      <c r="D17" t="s">
        <v>523</v>
      </c>
      <c r="E17" t="s">
        <v>524</v>
      </c>
      <c r="F17">
        <v>22.668945214993286</v>
      </c>
      <c r="G17">
        <v>25713547868.835384</v>
      </c>
      <c r="H17">
        <v>5828990079.2173672</v>
      </c>
      <c r="I17">
        <v>87434851188.260513</v>
      </c>
    </row>
    <row r="18" spans="1:9" x14ac:dyDescent="0.25">
      <c r="A18" t="s">
        <v>55</v>
      </c>
      <c r="B18" t="s">
        <v>56</v>
      </c>
      <c r="C18" t="s">
        <v>15</v>
      </c>
      <c r="D18" t="s">
        <v>523</v>
      </c>
      <c r="E18" t="s">
        <v>524</v>
      </c>
      <c r="F18">
        <v>5.1046479244229843</v>
      </c>
      <c r="G18">
        <v>100357022443.83252</v>
      </c>
      <c r="H18">
        <v>5122872663.1918049</v>
      </c>
      <c r="I18">
        <v>76843089947.877075</v>
      </c>
    </row>
    <row r="19" spans="1:9" x14ac:dyDescent="0.25">
      <c r="A19" t="s">
        <v>57</v>
      </c>
      <c r="B19" t="s">
        <v>58</v>
      </c>
      <c r="C19" t="s">
        <v>35</v>
      </c>
      <c r="D19" t="s">
        <v>523</v>
      </c>
      <c r="E19" t="s">
        <v>524</v>
      </c>
      <c r="F19">
        <v>2.3805664176058599E-2</v>
      </c>
      <c r="G19">
        <v>4433700000</v>
      </c>
      <c r="H19">
        <v>1055471.7325739102</v>
      </c>
      <c r="I19">
        <v>15832075.988608653</v>
      </c>
    </row>
    <row r="20" spans="1:9" x14ac:dyDescent="0.25">
      <c r="A20" t="s">
        <v>59</v>
      </c>
      <c r="B20" t="s">
        <v>60</v>
      </c>
      <c r="C20" t="s">
        <v>19</v>
      </c>
      <c r="D20" t="s">
        <v>523</v>
      </c>
      <c r="E20" t="s">
        <v>524</v>
      </c>
      <c r="F20">
        <v>2.4976306510289472</v>
      </c>
      <c r="G20">
        <v>55220932613.957985</v>
      </c>
      <c r="H20">
        <v>1379214938.7502549</v>
      </c>
      <c r="I20">
        <v>20688224081.253822</v>
      </c>
    </row>
    <row r="21" spans="1:9" x14ac:dyDescent="0.25">
      <c r="A21" t="s">
        <v>61</v>
      </c>
      <c r="B21" t="s">
        <v>62</v>
      </c>
      <c r="C21" t="s">
        <v>19</v>
      </c>
      <c r="D21" t="s">
        <v>523</v>
      </c>
      <c r="E21" t="s">
        <v>524</v>
      </c>
      <c r="F21">
        <v>6.4985824251083901E-2</v>
      </c>
      <c r="G21">
        <v>471150756074.17511</v>
      </c>
      <c r="H21">
        <v>306181202.30001646</v>
      </c>
      <c r="I21">
        <v>4592718034.500247</v>
      </c>
    </row>
    <row r="22" spans="1:9" x14ac:dyDescent="0.25">
      <c r="A22" t="s">
        <v>63</v>
      </c>
      <c r="B22" t="s">
        <v>64</v>
      </c>
      <c r="C22" t="s">
        <v>35</v>
      </c>
      <c r="D22" t="s">
        <v>523</v>
      </c>
      <c r="E22" t="s">
        <v>524</v>
      </c>
      <c r="F22">
        <v>1.0091866577688799</v>
      </c>
      <c r="G22">
        <v>1397900000</v>
      </c>
      <c r="H22">
        <v>14107420.288951172</v>
      </c>
      <c r="I22">
        <v>211611304.33426759</v>
      </c>
    </row>
    <row r="23" spans="1:9" x14ac:dyDescent="0.25">
      <c r="A23" t="s">
        <v>65</v>
      </c>
      <c r="B23" t="s">
        <v>66</v>
      </c>
      <c r="C23" t="s">
        <v>32</v>
      </c>
      <c r="D23" t="s">
        <v>523</v>
      </c>
      <c r="E23" t="s">
        <v>524</v>
      </c>
      <c r="F23">
        <v>5.47069381805861</v>
      </c>
      <c r="G23">
        <v>6558416322.119997</v>
      </c>
      <c r="H23">
        <v>358790876.29676551</v>
      </c>
      <c r="I23">
        <v>5381863144.4514828</v>
      </c>
    </row>
    <row r="24" spans="1:9" x14ac:dyDescent="0.25">
      <c r="A24" t="s">
        <v>67</v>
      </c>
      <c r="B24" t="s">
        <v>68</v>
      </c>
      <c r="C24" t="s">
        <v>69</v>
      </c>
      <c r="D24" t="s">
        <v>523</v>
      </c>
      <c r="E24" t="s">
        <v>524</v>
      </c>
      <c r="F24">
        <v>0</v>
      </c>
      <c r="G24">
        <v>5744414000</v>
      </c>
      <c r="H24">
        <v>0</v>
      </c>
      <c r="I24">
        <v>0</v>
      </c>
    </row>
    <row r="25" spans="1:9" x14ac:dyDescent="0.25">
      <c r="A25" t="s">
        <v>70</v>
      </c>
      <c r="B25" t="s">
        <v>71</v>
      </c>
      <c r="C25" t="s">
        <v>15</v>
      </c>
      <c r="D25" t="s">
        <v>523</v>
      </c>
      <c r="E25" t="s">
        <v>524</v>
      </c>
      <c r="F25">
        <v>24.269879733701952</v>
      </c>
      <c r="G25">
        <v>1585319109.1082966</v>
      </c>
      <c r="H25">
        <v>384755041.17597884</v>
      </c>
      <c r="I25">
        <v>5771325617.6396828</v>
      </c>
    </row>
    <row r="26" spans="1:9" x14ac:dyDescent="0.25">
      <c r="A26" t="s">
        <v>72</v>
      </c>
      <c r="B26" t="s">
        <v>73</v>
      </c>
      <c r="C26" t="s">
        <v>35</v>
      </c>
      <c r="D26" t="s">
        <v>523</v>
      </c>
      <c r="E26" t="s">
        <v>524</v>
      </c>
      <c r="F26">
        <v>20.069457272349599</v>
      </c>
      <c r="G26">
        <v>19649724655.58194</v>
      </c>
      <c r="H26">
        <v>3943593093.8863621</v>
      </c>
      <c r="I26">
        <v>59153896408.295433</v>
      </c>
    </row>
    <row r="27" spans="1:9" x14ac:dyDescent="0.25">
      <c r="A27" t="s">
        <v>74</v>
      </c>
      <c r="B27" t="s">
        <v>75</v>
      </c>
      <c r="C27" t="s">
        <v>19</v>
      </c>
      <c r="D27" t="s">
        <v>523</v>
      </c>
      <c r="E27" t="s">
        <v>524</v>
      </c>
      <c r="F27">
        <v>3.5505749486429199</v>
      </c>
      <c r="G27">
        <v>16775469777.651642</v>
      </c>
      <c r="H27">
        <v>595625627.44246328</v>
      </c>
      <c r="I27">
        <v>8934384411.6369495</v>
      </c>
    </row>
    <row r="28" spans="1:9" x14ac:dyDescent="0.25">
      <c r="A28" t="s">
        <v>76</v>
      </c>
      <c r="B28" t="s">
        <v>77</v>
      </c>
      <c r="C28" t="s">
        <v>32</v>
      </c>
      <c r="D28" t="s">
        <v>523</v>
      </c>
      <c r="E28" t="s">
        <v>524</v>
      </c>
      <c r="F28">
        <v>4.9914288898270467</v>
      </c>
      <c r="G28">
        <v>13746712705.593555</v>
      </c>
      <c r="H28">
        <v>686157389.38852191</v>
      </c>
      <c r="I28">
        <v>10292360840.827829</v>
      </c>
    </row>
    <row r="29" spans="1:9" x14ac:dyDescent="0.25">
      <c r="A29" t="s">
        <v>78</v>
      </c>
      <c r="B29" t="s">
        <v>79</v>
      </c>
      <c r="C29" t="s">
        <v>35</v>
      </c>
      <c r="D29" t="s">
        <v>523</v>
      </c>
      <c r="E29" t="s">
        <v>524</v>
      </c>
      <c r="F29">
        <v>6.1432046911441409</v>
      </c>
      <c r="G29">
        <v>2143035333258.2432</v>
      </c>
      <c r="H29">
        <v>131651047125.59688</v>
      </c>
      <c r="I29">
        <v>1974765706883.9531</v>
      </c>
    </row>
    <row r="30" spans="1:9" x14ac:dyDescent="0.25">
      <c r="A30" t="s">
        <v>80</v>
      </c>
      <c r="B30" t="s">
        <v>81</v>
      </c>
      <c r="C30" t="s">
        <v>26</v>
      </c>
      <c r="D30" t="s">
        <v>523</v>
      </c>
      <c r="E30" t="s">
        <v>524</v>
      </c>
      <c r="F30">
        <v>45.423459209107094</v>
      </c>
      <c r="G30">
        <v>12369708858.902905</v>
      </c>
      <c r="H30">
        <v>5618749657.8090668</v>
      </c>
      <c r="I30">
        <v>84281244867.136002</v>
      </c>
    </row>
    <row r="31" spans="1:9" x14ac:dyDescent="0.25">
      <c r="A31" t="s">
        <v>82</v>
      </c>
      <c r="B31" t="s">
        <v>83</v>
      </c>
      <c r="C31" t="s">
        <v>19</v>
      </c>
      <c r="D31" t="s">
        <v>523</v>
      </c>
      <c r="E31" t="s">
        <v>524</v>
      </c>
      <c r="F31">
        <v>2.5901411838291741</v>
      </c>
      <c r="G31">
        <v>47727325908.633011</v>
      </c>
      <c r="H31">
        <v>1236205124.2998753</v>
      </c>
      <c r="I31">
        <v>18543076864.498131</v>
      </c>
    </row>
    <row r="32" spans="1:9" x14ac:dyDescent="0.25">
      <c r="A32" t="s">
        <v>84</v>
      </c>
      <c r="B32" t="s">
        <v>85</v>
      </c>
      <c r="C32" t="s">
        <v>32</v>
      </c>
      <c r="D32" t="s">
        <v>523</v>
      </c>
      <c r="E32" t="s">
        <v>524</v>
      </c>
      <c r="F32">
        <v>15.309366601061171</v>
      </c>
      <c r="G32">
        <v>9209288383.0871105</v>
      </c>
      <c r="H32">
        <v>1409883719.9157445</v>
      </c>
      <c r="I32">
        <v>21148255798.736168</v>
      </c>
    </row>
    <row r="33" spans="1:9" x14ac:dyDescent="0.25">
      <c r="A33" t="s">
        <v>86</v>
      </c>
      <c r="B33" t="s">
        <v>87</v>
      </c>
      <c r="C33" t="s">
        <v>32</v>
      </c>
      <c r="D33" t="s">
        <v>523</v>
      </c>
      <c r="E33" t="s">
        <v>524</v>
      </c>
      <c r="F33">
        <v>27.221973049142122</v>
      </c>
      <c r="G33">
        <v>2026864414.4687095</v>
      </c>
      <c r="H33">
        <v>551752484.64932442</v>
      </c>
      <c r="I33">
        <v>8276287269.7398663</v>
      </c>
    </row>
    <row r="34" spans="1:9" x14ac:dyDescent="0.25">
      <c r="A34" t="s">
        <v>88</v>
      </c>
      <c r="B34" t="s">
        <v>89</v>
      </c>
      <c r="C34" t="s">
        <v>32</v>
      </c>
      <c r="D34" t="s">
        <v>523</v>
      </c>
      <c r="E34" t="s">
        <v>524</v>
      </c>
      <c r="F34">
        <v>0.57348194330278901</v>
      </c>
      <c r="G34">
        <v>1664310632.0316164</v>
      </c>
      <c r="H34">
        <v>9544520.9551698435</v>
      </c>
      <c r="I34">
        <v>143167814.32754764</v>
      </c>
    </row>
    <row r="35" spans="1:9" x14ac:dyDescent="0.25">
      <c r="A35" t="s">
        <v>90</v>
      </c>
      <c r="B35" t="s">
        <v>91</v>
      </c>
      <c r="C35" t="s">
        <v>26</v>
      </c>
      <c r="D35" t="s">
        <v>523</v>
      </c>
      <c r="E35" t="s">
        <v>524</v>
      </c>
      <c r="F35">
        <v>3.8530236469819101</v>
      </c>
      <c r="G35">
        <v>11242266333.924591</v>
      </c>
      <c r="H35">
        <v>433167180.30280077</v>
      </c>
      <c r="I35">
        <v>6497507704.5420113</v>
      </c>
    </row>
    <row r="36" spans="1:9" x14ac:dyDescent="0.25">
      <c r="A36" t="s">
        <v>92</v>
      </c>
      <c r="B36" t="s">
        <v>93</v>
      </c>
      <c r="C36" t="s">
        <v>32</v>
      </c>
      <c r="D36" t="s">
        <v>523</v>
      </c>
      <c r="E36" t="s">
        <v>524</v>
      </c>
      <c r="F36">
        <v>10.745107707820814</v>
      </c>
      <c r="G36">
        <v>22493301699.367199</v>
      </c>
      <c r="H36">
        <v>2416929494.6420951</v>
      </c>
      <c r="I36">
        <v>36253942419.631424</v>
      </c>
    </row>
    <row r="37" spans="1:9" x14ac:dyDescent="0.25">
      <c r="A37" t="s">
        <v>94</v>
      </c>
      <c r="B37" t="s">
        <v>95</v>
      </c>
      <c r="C37" t="s">
        <v>69</v>
      </c>
      <c r="D37" t="s">
        <v>523</v>
      </c>
      <c r="E37" t="s">
        <v>524</v>
      </c>
      <c r="F37">
        <v>4.2199689855565765</v>
      </c>
      <c r="G37">
        <v>1577040082217.7634</v>
      </c>
      <c r="H37">
        <v>66550602359.385544</v>
      </c>
      <c r="I37">
        <v>998259035390.7832</v>
      </c>
    </row>
    <row r="38" spans="1:9" x14ac:dyDescent="0.25">
      <c r="A38" t="s">
        <v>96</v>
      </c>
      <c r="B38" t="s">
        <v>97</v>
      </c>
      <c r="C38" t="s">
        <v>35</v>
      </c>
      <c r="D38" t="s">
        <v>523</v>
      </c>
      <c r="E38" t="s">
        <v>524</v>
      </c>
      <c r="F38" t="s">
        <v>470</v>
      </c>
      <c r="G38" t="s">
        <v>470</v>
      </c>
    </row>
    <row r="39" spans="1:9" x14ac:dyDescent="0.25">
      <c r="A39" t="s">
        <v>98</v>
      </c>
      <c r="B39" t="s">
        <v>99</v>
      </c>
      <c r="C39" t="s">
        <v>32</v>
      </c>
      <c r="D39" t="s">
        <v>523</v>
      </c>
      <c r="E39" t="s">
        <v>524</v>
      </c>
      <c r="F39">
        <v>8.3583344009640026</v>
      </c>
      <c r="G39">
        <v>1986014759.1978452</v>
      </c>
      <c r="H39">
        <v>165997754.82625589</v>
      </c>
      <c r="I39">
        <v>2489966322.3938384</v>
      </c>
    </row>
    <row r="40" spans="1:9" x14ac:dyDescent="0.25">
      <c r="A40" t="s">
        <v>100</v>
      </c>
      <c r="B40" t="s">
        <v>101</v>
      </c>
      <c r="C40" t="s">
        <v>32</v>
      </c>
      <c r="D40" t="s">
        <v>523</v>
      </c>
      <c r="E40" t="s">
        <v>524</v>
      </c>
      <c r="F40">
        <v>33.352404414425806</v>
      </c>
      <c r="G40">
        <v>10657705072.328405</v>
      </c>
      <c r="H40">
        <v>3554600897.019742</v>
      </c>
      <c r="I40">
        <v>53319013455.296127</v>
      </c>
    </row>
    <row r="41" spans="1:9" x14ac:dyDescent="0.25">
      <c r="A41" t="s">
        <v>102</v>
      </c>
      <c r="B41" t="s">
        <v>103</v>
      </c>
      <c r="C41" t="s">
        <v>19</v>
      </c>
      <c r="D41" t="s">
        <v>523</v>
      </c>
      <c r="E41" t="s">
        <v>524</v>
      </c>
      <c r="F41" t="s">
        <v>470</v>
      </c>
      <c r="G41" t="s">
        <v>470</v>
      </c>
    </row>
    <row r="42" spans="1:9" x14ac:dyDescent="0.25">
      <c r="A42" t="s">
        <v>104</v>
      </c>
      <c r="B42" t="s">
        <v>105</v>
      </c>
      <c r="C42" t="s">
        <v>35</v>
      </c>
      <c r="D42" t="s">
        <v>523</v>
      </c>
      <c r="E42" t="s">
        <v>524</v>
      </c>
      <c r="F42">
        <v>19.585290270676026</v>
      </c>
      <c r="G42">
        <v>217556229881.15268</v>
      </c>
      <c r="H42">
        <v>42609019124.162964</v>
      </c>
      <c r="I42">
        <v>639135286862.44446</v>
      </c>
    </row>
    <row r="43" spans="1:9" x14ac:dyDescent="0.25">
      <c r="A43" t="s">
        <v>106</v>
      </c>
      <c r="B43" t="s">
        <v>107</v>
      </c>
      <c r="C43" t="s">
        <v>26</v>
      </c>
      <c r="D43" t="s">
        <v>523</v>
      </c>
      <c r="E43" t="s">
        <v>524</v>
      </c>
      <c r="F43">
        <v>6.9540526922678172</v>
      </c>
      <c r="G43">
        <v>5930529470799.1748</v>
      </c>
      <c r="H43">
        <v>412412144329.84637</v>
      </c>
      <c r="I43">
        <v>6186182164947.6953</v>
      </c>
    </row>
    <row r="44" spans="1:9" x14ac:dyDescent="0.25">
      <c r="A44" t="s">
        <v>108</v>
      </c>
      <c r="B44" t="s">
        <v>109</v>
      </c>
      <c r="C44" t="s">
        <v>35</v>
      </c>
      <c r="D44" t="s">
        <v>523</v>
      </c>
      <c r="E44" t="s">
        <v>524</v>
      </c>
      <c r="F44">
        <v>9.6215000243984523</v>
      </c>
      <c r="G44">
        <v>287000940839.27222</v>
      </c>
      <c r="H44">
        <v>27613795592.874363</v>
      </c>
      <c r="I44">
        <v>414206933893.11542</v>
      </c>
    </row>
    <row r="45" spans="1:9" x14ac:dyDescent="0.25">
      <c r="A45" t="s">
        <v>110</v>
      </c>
      <c r="B45" t="s">
        <v>111</v>
      </c>
      <c r="C45" t="s">
        <v>32</v>
      </c>
      <c r="D45" t="s">
        <v>523</v>
      </c>
      <c r="E45" t="s">
        <v>524</v>
      </c>
      <c r="F45">
        <v>2.88670835096694</v>
      </c>
      <c r="G45">
        <v>543376206.06227398</v>
      </c>
      <c r="H45">
        <v>15685686.317566991</v>
      </c>
      <c r="I45">
        <v>235285294.76350486</v>
      </c>
    </row>
    <row r="46" spans="1:9" x14ac:dyDescent="0.25">
      <c r="A46" t="s">
        <v>112</v>
      </c>
      <c r="B46" t="s">
        <v>113</v>
      </c>
      <c r="C46" t="s">
        <v>32</v>
      </c>
      <c r="D46" t="s">
        <v>523</v>
      </c>
      <c r="E46" t="s">
        <v>524</v>
      </c>
      <c r="F46">
        <v>58.464749500360192</v>
      </c>
      <c r="G46">
        <v>13138775753.202591</v>
      </c>
      <c r="H46">
        <v>7681552331.5239582</v>
      </c>
      <c r="I46">
        <v>115223284972.85937</v>
      </c>
    </row>
    <row r="47" spans="1:9" x14ac:dyDescent="0.25">
      <c r="A47" t="s">
        <v>114</v>
      </c>
      <c r="B47" t="s">
        <v>115</v>
      </c>
      <c r="C47" t="s">
        <v>32</v>
      </c>
      <c r="D47" t="s">
        <v>523</v>
      </c>
      <c r="E47" t="s">
        <v>524</v>
      </c>
      <c r="F47">
        <v>66.620866568849308</v>
      </c>
      <c r="G47">
        <v>12007880067.384727</v>
      </c>
      <c r="H47">
        <v>7999753757.4398327</v>
      </c>
      <c r="I47">
        <v>119996306361.59749</v>
      </c>
    </row>
    <row r="48" spans="1:9" x14ac:dyDescent="0.25">
      <c r="A48" t="s">
        <v>116</v>
      </c>
      <c r="B48" t="s">
        <v>117</v>
      </c>
      <c r="C48" t="s">
        <v>35</v>
      </c>
      <c r="D48" t="s">
        <v>523</v>
      </c>
      <c r="E48" t="s">
        <v>524</v>
      </c>
      <c r="F48">
        <v>1.2333678547450739</v>
      </c>
      <c r="G48">
        <v>36298327620.413033</v>
      </c>
      <c r="H48">
        <v>447691904.68022686</v>
      </c>
      <c r="I48">
        <v>6715378570.2034025</v>
      </c>
    </row>
    <row r="49" spans="1:9" x14ac:dyDescent="0.25">
      <c r="A49" t="s">
        <v>118</v>
      </c>
      <c r="B49" t="s">
        <v>119</v>
      </c>
      <c r="C49" t="s">
        <v>32</v>
      </c>
      <c r="D49" t="s">
        <v>523</v>
      </c>
      <c r="E49" t="s">
        <v>524</v>
      </c>
      <c r="F49">
        <v>7.8162478177840571</v>
      </c>
      <c r="G49">
        <v>22920779597.555038</v>
      </c>
      <c r="H49">
        <v>1791544935.1129889</v>
      </c>
      <c r="I49">
        <v>26873174026.694836</v>
      </c>
    </row>
    <row r="50" spans="1:9" x14ac:dyDescent="0.25">
      <c r="A50" t="s">
        <v>120</v>
      </c>
      <c r="B50" t="s">
        <v>121</v>
      </c>
      <c r="C50" t="s">
        <v>19</v>
      </c>
      <c r="D50" t="s">
        <v>523</v>
      </c>
      <c r="E50" t="s">
        <v>524</v>
      </c>
      <c r="F50">
        <v>1.5601920692949252</v>
      </c>
      <c r="G50">
        <v>58873839434.983353</v>
      </c>
      <c r="H50">
        <v>918544973.75403845</v>
      </c>
      <c r="I50">
        <v>13778174606.310577</v>
      </c>
    </row>
    <row r="51" spans="1:9" x14ac:dyDescent="0.25">
      <c r="A51" t="s">
        <v>122</v>
      </c>
      <c r="B51" t="s">
        <v>123</v>
      </c>
      <c r="C51" t="s">
        <v>35</v>
      </c>
      <c r="D51" t="s">
        <v>523</v>
      </c>
      <c r="E51" t="s">
        <v>524</v>
      </c>
      <c r="F51">
        <v>4.7923796851755451</v>
      </c>
      <c r="G51">
        <v>64328220000</v>
      </c>
      <c r="H51">
        <v>3082852547.1150317</v>
      </c>
      <c r="I51">
        <v>46242788206.725479</v>
      </c>
    </row>
    <row r="52" spans="1:9" x14ac:dyDescent="0.25">
      <c r="A52" t="s">
        <v>124</v>
      </c>
      <c r="B52" t="s">
        <v>125</v>
      </c>
      <c r="C52" t="s">
        <v>35</v>
      </c>
      <c r="D52" t="s">
        <v>523</v>
      </c>
      <c r="E52" t="s">
        <v>524</v>
      </c>
      <c r="F52" t="s">
        <v>470</v>
      </c>
      <c r="G52" t="s">
        <v>470</v>
      </c>
    </row>
    <row r="53" spans="1:9" x14ac:dyDescent="0.25">
      <c r="A53" t="s">
        <v>126</v>
      </c>
      <c r="B53" t="s">
        <v>127</v>
      </c>
      <c r="C53" t="s">
        <v>19</v>
      </c>
      <c r="D53" t="s">
        <v>523</v>
      </c>
      <c r="E53" t="s">
        <v>524</v>
      </c>
      <c r="F53">
        <v>9.0670855286385105E-3</v>
      </c>
      <c r="G53">
        <v>23132450331.125828</v>
      </c>
      <c r="H53">
        <v>2097439.0563930012</v>
      </c>
      <c r="I53">
        <v>31461585.845895018</v>
      </c>
    </row>
    <row r="54" spans="1:9" x14ac:dyDescent="0.25">
      <c r="A54" t="s">
        <v>128</v>
      </c>
      <c r="B54" t="s">
        <v>129</v>
      </c>
      <c r="C54" t="s">
        <v>19</v>
      </c>
      <c r="D54" t="s">
        <v>523</v>
      </c>
      <c r="E54" t="s">
        <v>524</v>
      </c>
      <c r="F54">
        <v>0.68868388210489795</v>
      </c>
      <c r="G54">
        <v>198475392670.15704</v>
      </c>
      <c r="H54">
        <v>1366868039.2637777</v>
      </c>
      <c r="I54">
        <v>20503020588.956665</v>
      </c>
    </row>
    <row r="55" spans="1:9" x14ac:dyDescent="0.25">
      <c r="A55" t="s">
        <v>130</v>
      </c>
      <c r="B55" t="s">
        <v>131</v>
      </c>
      <c r="C55" t="s">
        <v>19</v>
      </c>
      <c r="D55" t="s">
        <v>523</v>
      </c>
      <c r="E55" t="s">
        <v>524</v>
      </c>
      <c r="F55">
        <v>2.179902043787604</v>
      </c>
      <c r="G55">
        <v>313176334519.57294</v>
      </c>
      <c r="H55">
        <v>6826937316.8512735</v>
      </c>
      <c r="I55">
        <v>102404059752.7691</v>
      </c>
    </row>
    <row r="56" spans="1:9" x14ac:dyDescent="0.25">
      <c r="A56" t="s">
        <v>132</v>
      </c>
      <c r="B56" t="s">
        <v>133</v>
      </c>
      <c r="C56" t="s">
        <v>22</v>
      </c>
      <c r="D56" t="s">
        <v>523</v>
      </c>
      <c r="E56" t="s">
        <v>524</v>
      </c>
      <c r="F56" t="s">
        <v>470</v>
      </c>
      <c r="G56" t="s">
        <v>470</v>
      </c>
    </row>
    <row r="57" spans="1:9" x14ac:dyDescent="0.25">
      <c r="A57" t="s">
        <v>134</v>
      </c>
      <c r="B57" t="s">
        <v>135</v>
      </c>
      <c r="C57" t="s">
        <v>35</v>
      </c>
      <c r="D57" t="s">
        <v>523</v>
      </c>
      <c r="E57" t="s">
        <v>524</v>
      </c>
      <c r="F57">
        <v>0.104071414999448</v>
      </c>
      <c r="G57">
        <v>471851098.51851851</v>
      </c>
      <c r="H57">
        <v>491062.11491866165</v>
      </c>
      <c r="I57">
        <v>7365931.7237799251</v>
      </c>
    </row>
    <row r="58" spans="1:9" x14ac:dyDescent="0.25">
      <c r="A58" t="s">
        <v>136</v>
      </c>
      <c r="B58" t="s">
        <v>137</v>
      </c>
      <c r="C58" t="s">
        <v>35</v>
      </c>
      <c r="D58" t="s">
        <v>523</v>
      </c>
      <c r="E58" t="s">
        <v>524</v>
      </c>
      <c r="F58">
        <v>0.25106971577906301</v>
      </c>
      <c r="G58">
        <v>51748279416.008934</v>
      </c>
      <c r="H58">
        <v>129924258.050329</v>
      </c>
      <c r="I58">
        <v>1948863870.754935</v>
      </c>
    </row>
    <row r="59" spans="1:9" x14ac:dyDescent="0.25">
      <c r="A59" t="s">
        <v>138</v>
      </c>
      <c r="B59" t="s">
        <v>139</v>
      </c>
      <c r="C59" t="s">
        <v>35</v>
      </c>
      <c r="D59" t="s">
        <v>523</v>
      </c>
      <c r="E59" t="s">
        <v>524</v>
      </c>
      <c r="F59">
        <v>18.632396913632199</v>
      </c>
      <c r="G59">
        <v>67513698000</v>
      </c>
      <c r="H59">
        <v>12579420182.430964</v>
      </c>
      <c r="I59">
        <v>188691302736.46445</v>
      </c>
    </row>
    <row r="60" spans="1:9" x14ac:dyDescent="0.25">
      <c r="A60" t="s">
        <v>140</v>
      </c>
      <c r="B60" t="s">
        <v>141</v>
      </c>
      <c r="C60" t="s">
        <v>22</v>
      </c>
      <c r="D60" t="s">
        <v>523</v>
      </c>
      <c r="E60" t="s">
        <v>524</v>
      </c>
      <c r="F60">
        <v>12.054281438222398</v>
      </c>
      <c r="G60">
        <v>218887812549.85132</v>
      </c>
      <c r="H60">
        <v>26385352958.727764</v>
      </c>
      <c r="I60">
        <v>395780294380.91644</v>
      </c>
    </row>
    <row r="61" spans="1:9" x14ac:dyDescent="0.25">
      <c r="A61" t="s">
        <v>142</v>
      </c>
      <c r="B61" t="s">
        <v>143</v>
      </c>
      <c r="C61" t="s">
        <v>35</v>
      </c>
      <c r="D61" t="s">
        <v>523</v>
      </c>
      <c r="E61" t="s">
        <v>524</v>
      </c>
      <c r="F61">
        <v>1.8217718161753</v>
      </c>
      <c r="G61">
        <v>21418300000</v>
      </c>
      <c r="H61">
        <v>390192552.90387428</v>
      </c>
      <c r="I61">
        <v>5852888293.5581141</v>
      </c>
    </row>
    <row r="62" spans="1:9" x14ac:dyDescent="0.25">
      <c r="A62" t="s">
        <v>144</v>
      </c>
      <c r="B62" t="s">
        <v>145</v>
      </c>
      <c r="C62" t="s">
        <v>32</v>
      </c>
      <c r="D62" t="s">
        <v>523</v>
      </c>
      <c r="E62" t="s">
        <v>524</v>
      </c>
      <c r="F62">
        <v>50.784970127055217</v>
      </c>
      <c r="G62">
        <v>12261420852.354893</v>
      </c>
      <c r="H62">
        <v>6226958917.0209513</v>
      </c>
      <c r="I62">
        <v>93404383755.31427</v>
      </c>
    </row>
    <row r="63" spans="1:9" x14ac:dyDescent="0.25">
      <c r="A63" t="s">
        <v>146</v>
      </c>
      <c r="B63" t="s">
        <v>147</v>
      </c>
      <c r="C63" t="s">
        <v>32</v>
      </c>
      <c r="D63" t="s">
        <v>523</v>
      </c>
      <c r="E63" t="s">
        <v>524</v>
      </c>
      <c r="F63">
        <v>3.6287922286855641</v>
      </c>
      <c r="G63">
        <v>2117039510.7019448</v>
      </c>
      <c r="H63">
        <v>76822965.242555067</v>
      </c>
      <c r="I63">
        <v>1152344478.6383259</v>
      </c>
    </row>
    <row r="64" spans="1:9" x14ac:dyDescent="0.25">
      <c r="A64" t="s">
        <v>148</v>
      </c>
      <c r="B64" t="s">
        <v>149</v>
      </c>
      <c r="C64" t="s">
        <v>19</v>
      </c>
      <c r="D64" t="s">
        <v>523</v>
      </c>
      <c r="E64" t="s">
        <v>524</v>
      </c>
      <c r="F64">
        <v>2.7532979706368903</v>
      </c>
      <c r="G64">
        <v>19044699035.250462</v>
      </c>
      <c r="H64">
        <v>524357312.05145437</v>
      </c>
      <c r="I64">
        <v>7865359680.7718153</v>
      </c>
    </row>
    <row r="65" spans="1:9" x14ac:dyDescent="0.25">
      <c r="A65" t="s">
        <v>150</v>
      </c>
      <c r="B65" t="s">
        <v>151</v>
      </c>
      <c r="C65" t="s">
        <v>32</v>
      </c>
      <c r="D65" t="s">
        <v>523</v>
      </c>
      <c r="E65" t="s">
        <v>524</v>
      </c>
      <c r="F65">
        <v>20.781973355549571</v>
      </c>
      <c r="G65">
        <v>26288737405.418686</v>
      </c>
      <c r="H65">
        <v>5463318403.1045046</v>
      </c>
      <c r="I65">
        <v>81949776046.567566</v>
      </c>
    </row>
    <row r="66" spans="1:9" x14ac:dyDescent="0.25">
      <c r="A66" t="s">
        <v>152</v>
      </c>
      <c r="B66" t="s">
        <v>153</v>
      </c>
      <c r="C66" t="s">
        <v>19</v>
      </c>
      <c r="D66" t="s">
        <v>523</v>
      </c>
      <c r="E66" t="s">
        <v>524</v>
      </c>
      <c r="F66" t="s">
        <v>470</v>
      </c>
      <c r="G66" t="s">
        <v>470</v>
      </c>
    </row>
    <row r="67" spans="1:9" x14ac:dyDescent="0.25">
      <c r="A67" t="s">
        <v>154</v>
      </c>
      <c r="B67" t="s">
        <v>155</v>
      </c>
      <c r="C67" t="s">
        <v>26</v>
      </c>
      <c r="D67" t="s">
        <v>523</v>
      </c>
      <c r="E67" t="s">
        <v>524</v>
      </c>
      <c r="F67">
        <v>2.707442111330074</v>
      </c>
      <c r="G67">
        <v>3225095136.3186154</v>
      </c>
      <c r="H67">
        <v>87317583.851148248</v>
      </c>
      <c r="I67">
        <v>1309763757.7672238</v>
      </c>
    </row>
    <row r="68" spans="1:9" x14ac:dyDescent="0.25">
      <c r="A68" t="s">
        <v>156</v>
      </c>
      <c r="B68" t="s">
        <v>157</v>
      </c>
      <c r="C68" t="s">
        <v>19</v>
      </c>
      <c r="D68" t="s">
        <v>523</v>
      </c>
      <c r="E68" t="s">
        <v>524</v>
      </c>
      <c r="F68">
        <v>1.4062757572130411</v>
      </c>
      <c r="G68">
        <v>236706436522.74377</v>
      </c>
      <c r="H68">
        <v>3328745232.5822215</v>
      </c>
      <c r="I68">
        <v>49931178488.733322</v>
      </c>
    </row>
    <row r="69" spans="1:9" x14ac:dyDescent="0.25">
      <c r="A69" t="s">
        <v>158</v>
      </c>
      <c r="B69" t="s">
        <v>159</v>
      </c>
      <c r="C69" t="s">
        <v>19</v>
      </c>
      <c r="D69" t="s">
        <v>523</v>
      </c>
      <c r="E69" t="s">
        <v>524</v>
      </c>
      <c r="F69">
        <v>0.17179972360364079</v>
      </c>
      <c r="G69">
        <v>2565039332950.9653</v>
      </c>
      <c r="H69">
        <v>4406730484.3344297</v>
      </c>
      <c r="I69">
        <v>66100957265.016449</v>
      </c>
    </row>
    <row r="70" spans="1:9" x14ac:dyDescent="0.25">
      <c r="A70" t="s">
        <v>160</v>
      </c>
      <c r="B70" t="s">
        <v>161</v>
      </c>
      <c r="C70" t="s">
        <v>26</v>
      </c>
      <c r="D70" t="s">
        <v>523</v>
      </c>
      <c r="E70" t="s">
        <v>524</v>
      </c>
      <c r="F70" t="s">
        <v>470</v>
      </c>
      <c r="G70" t="s">
        <v>470</v>
      </c>
    </row>
    <row r="71" spans="1:9" x14ac:dyDescent="0.25">
      <c r="A71" t="s">
        <v>162</v>
      </c>
      <c r="B71" t="s">
        <v>163</v>
      </c>
      <c r="C71" t="s">
        <v>32</v>
      </c>
      <c r="D71" t="s">
        <v>523</v>
      </c>
      <c r="E71" t="s">
        <v>524</v>
      </c>
      <c r="F71">
        <v>45.873495211593671</v>
      </c>
      <c r="G71">
        <v>14507032805.982397</v>
      </c>
      <c r="H71">
        <v>6654882999.5966587</v>
      </c>
      <c r="I71">
        <v>99823244993.949875</v>
      </c>
    </row>
    <row r="72" spans="1:9" x14ac:dyDescent="0.25">
      <c r="A72" t="s">
        <v>164</v>
      </c>
      <c r="B72" t="s">
        <v>165</v>
      </c>
      <c r="C72" t="s">
        <v>32</v>
      </c>
      <c r="D72" t="s">
        <v>523</v>
      </c>
      <c r="E72" t="s">
        <v>524</v>
      </c>
      <c r="F72">
        <v>4.8300592502575501</v>
      </c>
      <c r="G72">
        <v>951805801.35401237</v>
      </c>
      <c r="H72">
        <v>45972784.152787477</v>
      </c>
      <c r="I72">
        <v>689591762.29181218</v>
      </c>
    </row>
    <row r="73" spans="1:9" x14ac:dyDescent="0.25">
      <c r="A73" t="s">
        <v>166</v>
      </c>
      <c r="B73" t="s">
        <v>167</v>
      </c>
      <c r="C73" t="s">
        <v>19</v>
      </c>
      <c r="D73" t="s">
        <v>523</v>
      </c>
      <c r="E73" t="s">
        <v>524</v>
      </c>
      <c r="F73">
        <v>1.0642208615963804</v>
      </c>
      <c r="G73">
        <v>11638236642.847595</v>
      </c>
      <c r="H73">
        <v>123856542.27513833</v>
      </c>
      <c r="I73">
        <v>1857848134.127075</v>
      </c>
    </row>
    <row r="74" spans="1:9" x14ac:dyDescent="0.25">
      <c r="A74" t="s">
        <v>168</v>
      </c>
      <c r="B74" t="s">
        <v>169</v>
      </c>
      <c r="C74" t="s">
        <v>19</v>
      </c>
      <c r="D74" t="s">
        <v>523</v>
      </c>
      <c r="E74" t="s">
        <v>524</v>
      </c>
      <c r="F74">
        <v>0.20469106127673711</v>
      </c>
      <c r="G74">
        <v>3304439018398.4565</v>
      </c>
      <c r="H74">
        <v>6763891296.0023947</v>
      </c>
      <c r="I74">
        <v>101458369440.03592</v>
      </c>
    </row>
    <row r="75" spans="1:9" x14ac:dyDescent="0.25">
      <c r="A75" t="s">
        <v>170</v>
      </c>
      <c r="B75" t="s">
        <v>171</v>
      </c>
      <c r="C75" t="s">
        <v>32</v>
      </c>
      <c r="D75" t="s">
        <v>523</v>
      </c>
      <c r="E75" t="s">
        <v>524</v>
      </c>
      <c r="F75">
        <v>13.037172639334015</v>
      </c>
      <c r="G75">
        <v>32174210792.963085</v>
      </c>
      <c r="H75">
        <v>4194607406.4218354</v>
      </c>
      <c r="I75">
        <v>62919111096.32753</v>
      </c>
    </row>
    <row r="76" spans="1:9" x14ac:dyDescent="0.25">
      <c r="A76" t="s">
        <v>172</v>
      </c>
      <c r="B76" t="s">
        <v>173</v>
      </c>
      <c r="C76" t="s">
        <v>19</v>
      </c>
      <c r="D76" t="s">
        <v>523</v>
      </c>
      <c r="E76" t="s">
        <v>524</v>
      </c>
      <c r="F76">
        <v>0.21388427032780627</v>
      </c>
      <c r="G76">
        <v>294222876630.78204</v>
      </c>
      <c r="H76">
        <v>629296452.81922984</v>
      </c>
      <c r="I76">
        <v>9439446792.2884483</v>
      </c>
    </row>
    <row r="77" spans="1:9" x14ac:dyDescent="0.25">
      <c r="A77" t="s">
        <v>174</v>
      </c>
      <c r="B77" t="s">
        <v>175</v>
      </c>
      <c r="C77" t="s">
        <v>19</v>
      </c>
      <c r="D77" t="s">
        <v>523</v>
      </c>
      <c r="E77" t="s">
        <v>524</v>
      </c>
      <c r="F77" t="s">
        <v>470</v>
      </c>
      <c r="G77" t="s">
        <v>470</v>
      </c>
    </row>
    <row r="78" spans="1:9" x14ac:dyDescent="0.25">
      <c r="A78" t="s">
        <v>176</v>
      </c>
      <c r="B78" t="s">
        <v>177</v>
      </c>
      <c r="C78" t="s">
        <v>35</v>
      </c>
      <c r="D78" t="s">
        <v>523</v>
      </c>
      <c r="E78" t="s">
        <v>524</v>
      </c>
      <c r="F78">
        <v>0</v>
      </c>
      <c r="G78">
        <v>783602099.12405074</v>
      </c>
      <c r="H78">
        <v>0</v>
      </c>
      <c r="I78">
        <v>0</v>
      </c>
    </row>
    <row r="79" spans="1:9" x14ac:dyDescent="0.25">
      <c r="A79" t="s">
        <v>178</v>
      </c>
      <c r="B79" t="s">
        <v>179</v>
      </c>
      <c r="C79" t="s">
        <v>26</v>
      </c>
      <c r="D79" t="s">
        <v>523</v>
      </c>
      <c r="E79" t="s">
        <v>524</v>
      </c>
      <c r="F79" t="s">
        <v>470</v>
      </c>
      <c r="G79" t="s">
        <v>470</v>
      </c>
    </row>
    <row r="80" spans="1:9" x14ac:dyDescent="0.25">
      <c r="A80" t="s">
        <v>180</v>
      </c>
      <c r="B80" t="s">
        <v>181</v>
      </c>
      <c r="C80" t="s">
        <v>35</v>
      </c>
      <c r="D80" t="s">
        <v>523</v>
      </c>
      <c r="E80" t="s">
        <v>524</v>
      </c>
      <c r="F80">
        <v>4.4390390696317805</v>
      </c>
      <c r="G80">
        <v>41338161799.108192</v>
      </c>
      <c r="H80">
        <v>1835017152.9300125</v>
      </c>
      <c r="I80">
        <v>27525257293.950188</v>
      </c>
    </row>
    <row r="81" spans="1:9" x14ac:dyDescent="0.25">
      <c r="A81" t="s">
        <v>182</v>
      </c>
      <c r="B81" t="s">
        <v>183</v>
      </c>
      <c r="C81" t="s">
        <v>32</v>
      </c>
      <c r="D81" t="s">
        <v>523</v>
      </c>
      <c r="E81" t="s">
        <v>524</v>
      </c>
      <c r="F81">
        <v>28.166500968960101</v>
      </c>
      <c r="G81">
        <v>4735956475.8380318</v>
      </c>
      <c r="H81">
        <v>1333953226.6564479</v>
      </c>
      <c r="I81">
        <v>20009298399.846718</v>
      </c>
    </row>
    <row r="82" spans="1:9" x14ac:dyDescent="0.25">
      <c r="A82" t="s">
        <v>184</v>
      </c>
      <c r="B82" t="s">
        <v>185</v>
      </c>
      <c r="C82" t="s">
        <v>32</v>
      </c>
      <c r="D82" t="s">
        <v>523</v>
      </c>
      <c r="E82" t="s">
        <v>524</v>
      </c>
      <c r="F82">
        <v>17.0026561898535</v>
      </c>
      <c r="G82">
        <v>835390892.98831928</v>
      </c>
      <c r="H82">
        <v>142038641.37615088</v>
      </c>
      <c r="I82">
        <v>2130579620.6422632</v>
      </c>
    </row>
    <row r="83" spans="1:9" x14ac:dyDescent="0.25">
      <c r="A83" t="s">
        <v>186</v>
      </c>
      <c r="B83" t="s">
        <v>187</v>
      </c>
      <c r="C83" t="s">
        <v>35</v>
      </c>
      <c r="D83" t="s">
        <v>523</v>
      </c>
      <c r="E83" t="s">
        <v>524</v>
      </c>
      <c r="F83">
        <v>17.929673342616518</v>
      </c>
      <c r="G83">
        <v>2259288026.4197154</v>
      </c>
      <c r="H83">
        <v>405082963.00590253</v>
      </c>
      <c r="I83">
        <v>6076244445.0885382</v>
      </c>
    </row>
    <row r="84" spans="1:9" x14ac:dyDescent="0.25">
      <c r="A84" t="s">
        <v>188</v>
      </c>
      <c r="B84" t="s">
        <v>189</v>
      </c>
      <c r="C84" t="s">
        <v>35</v>
      </c>
      <c r="D84" t="s">
        <v>523</v>
      </c>
      <c r="E84" t="s">
        <v>524</v>
      </c>
      <c r="F84">
        <v>2.4268662507487799</v>
      </c>
      <c r="G84">
        <v>6634579143.3611231</v>
      </c>
      <c r="H84">
        <v>161012362.10944861</v>
      </c>
      <c r="I84">
        <v>2415185431.6417294</v>
      </c>
    </row>
    <row r="85" spans="1:9" x14ac:dyDescent="0.25">
      <c r="A85" t="s">
        <v>190</v>
      </c>
      <c r="B85" t="s">
        <v>191</v>
      </c>
      <c r="C85" t="s">
        <v>35</v>
      </c>
      <c r="D85" t="s">
        <v>523</v>
      </c>
      <c r="E85" t="s">
        <v>524</v>
      </c>
      <c r="F85">
        <v>4.5641490371192956</v>
      </c>
      <c r="G85">
        <v>15729644901.145912</v>
      </c>
      <c r="H85">
        <v>717924436.29793561</v>
      </c>
      <c r="I85">
        <v>10768866544.469034</v>
      </c>
    </row>
    <row r="86" spans="1:9" x14ac:dyDescent="0.25">
      <c r="A86" t="s">
        <v>192</v>
      </c>
      <c r="B86" t="s">
        <v>193</v>
      </c>
      <c r="C86" t="s">
        <v>26</v>
      </c>
      <c r="D86" t="s">
        <v>523</v>
      </c>
      <c r="E86" t="s">
        <v>524</v>
      </c>
      <c r="F86">
        <v>1.3705779913540299E-3</v>
      </c>
      <c r="G86">
        <v>228695747309.89035</v>
      </c>
      <c r="H86">
        <v>3134453.5797919827</v>
      </c>
      <c r="I86">
        <v>47016803.696879737</v>
      </c>
    </row>
    <row r="87" spans="1:9" x14ac:dyDescent="0.25">
      <c r="A87" t="s">
        <v>194</v>
      </c>
      <c r="B87" t="s">
        <v>195</v>
      </c>
      <c r="C87" t="s">
        <v>19</v>
      </c>
      <c r="D87" t="s">
        <v>523</v>
      </c>
      <c r="E87" t="s">
        <v>524</v>
      </c>
      <c r="F87">
        <v>0.85933875593828812</v>
      </c>
      <c r="G87">
        <v>127503279792.24777</v>
      </c>
      <c r="H87">
        <v>1095685098.3472166</v>
      </c>
      <c r="I87">
        <v>16435276475.208248</v>
      </c>
    </row>
    <row r="88" spans="1:9" x14ac:dyDescent="0.25">
      <c r="A88" t="s">
        <v>196</v>
      </c>
      <c r="B88" t="s">
        <v>197</v>
      </c>
      <c r="C88" t="s">
        <v>19</v>
      </c>
      <c r="D88" t="s">
        <v>523</v>
      </c>
      <c r="E88" t="s">
        <v>524</v>
      </c>
      <c r="F88">
        <v>0</v>
      </c>
      <c r="G88">
        <v>12564891657.722513</v>
      </c>
      <c r="H88">
        <v>0</v>
      </c>
      <c r="I88">
        <v>0</v>
      </c>
    </row>
    <row r="89" spans="1:9" x14ac:dyDescent="0.25">
      <c r="A89" t="s">
        <v>198</v>
      </c>
      <c r="B89" t="s">
        <v>199</v>
      </c>
      <c r="C89" t="s">
        <v>15</v>
      </c>
      <c r="D89" t="s">
        <v>523</v>
      </c>
      <c r="E89" t="s">
        <v>524</v>
      </c>
      <c r="F89">
        <v>6.2115324690822051</v>
      </c>
      <c r="G89">
        <v>1708450861364.1714</v>
      </c>
      <c r="H89">
        <v>106120979971.95012</v>
      </c>
      <c r="I89">
        <v>1591814699579.2517</v>
      </c>
    </row>
    <row r="90" spans="1:9" x14ac:dyDescent="0.25">
      <c r="A90" t="s">
        <v>200</v>
      </c>
      <c r="B90" t="s">
        <v>201</v>
      </c>
      <c r="C90" t="s">
        <v>26</v>
      </c>
      <c r="D90" t="s">
        <v>523</v>
      </c>
      <c r="E90" t="s">
        <v>524</v>
      </c>
      <c r="F90">
        <v>8.4461326772820513</v>
      </c>
      <c r="G90">
        <v>709190822690.73877</v>
      </c>
      <c r="H90">
        <v>59899197819.567902</v>
      </c>
      <c r="I90">
        <v>898487967293.51855</v>
      </c>
    </row>
    <row r="91" spans="1:9" x14ac:dyDescent="0.25">
      <c r="A91" t="s">
        <v>202</v>
      </c>
      <c r="B91" t="s">
        <v>203</v>
      </c>
      <c r="C91" t="s">
        <v>22</v>
      </c>
      <c r="D91" t="s">
        <v>523</v>
      </c>
      <c r="E91" t="s">
        <v>524</v>
      </c>
      <c r="F91">
        <v>30.84889939735303</v>
      </c>
      <c r="G91">
        <v>422567967404.51208</v>
      </c>
      <c r="H91">
        <v>130357567150.05748</v>
      </c>
      <c r="I91">
        <v>1955363507250.8623</v>
      </c>
    </row>
    <row r="92" spans="1:9" x14ac:dyDescent="0.25">
      <c r="A92" t="s">
        <v>204</v>
      </c>
      <c r="B92" t="s">
        <v>205</v>
      </c>
      <c r="C92" t="s">
        <v>22</v>
      </c>
      <c r="D92" t="s">
        <v>523</v>
      </c>
      <c r="E92" t="s">
        <v>524</v>
      </c>
      <c r="F92">
        <v>42.398419523104579</v>
      </c>
      <c r="G92">
        <v>142814704615.38461</v>
      </c>
      <c r="H92">
        <v>60551177603.513367</v>
      </c>
      <c r="I92">
        <v>908267664052.70044</v>
      </c>
    </row>
    <row r="93" spans="1:9" x14ac:dyDescent="0.25">
      <c r="A93" t="s">
        <v>206</v>
      </c>
      <c r="B93" t="s">
        <v>207</v>
      </c>
      <c r="C93" t="s">
        <v>19</v>
      </c>
      <c r="D93" t="s">
        <v>523</v>
      </c>
      <c r="E93" t="s">
        <v>524</v>
      </c>
      <c r="F93">
        <v>0.19794720844202884</v>
      </c>
      <c r="G93">
        <v>209387190854.47037</v>
      </c>
      <c r="H93">
        <v>414476099.13160717</v>
      </c>
      <c r="I93">
        <v>6217141486.9741077</v>
      </c>
    </row>
    <row r="94" spans="1:9" x14ac:dyDescent="0.25">
      <c r="A94" t="s">
        <v>208</v>
      </c>
      <c r="B94" t="s">
        <v>209</v>
      </c>
      <c r="C94" t="s">
        <v>19</v>
      </c>
      <c r="D94" t="s">
        <v>523</v>
      </c>
      <c r="E94" t="s">
        <v>524</v>
      </c>
      <c r="F94" t="s">
        <v>470</v>
      </c>
      <c r="G94" t="s">
        <v>470</v>
      </c>
    </row>
    <row r="95" spans="1:9" x14ac:dyDescent="0.25">
      <c r="A95" t="s">
        <v>210</v>
      </c>
      <c r="B95" t="s">
        <v>211</v>
      </c>
      <c r="C95" t="s">
        <v>22</v>
      </c>
      <c r="D95" t="s">
        <v>523</v>
      </c>
      <c r="E95" t="s">
        <v>524</v>
      </c>
      <c r="F95">
        <v>0.29524141577206842</v>
      </c>
      <c r="G95">
        <v>231674400561.64752</v>
      </c>
      <c r="H95">
        <v>683998780.19966102</v>
      </c>
      <c r="I95">
        <v>10259981702.994915</v>
      </c>
    </row>
    <row r="96" spans="1:9" x14ac:dyDescent="0.25">
      <c r="A96" t="s">
        <v>212</v>
      </c>
      <c r="B96" t="s">
        <v>213</v>
      </c>
      <c r="C96" t="s">
        <v>19</v>
      </c>
      <c r="D96" t="s">
        <v>523</v>
      </c>
      <c r="E96" t="s">
        <v>524</v>
      </c>
      <c r="F96">
        <v>0.19358966210977449</v>
      </c>
      <c r="G96">
        <v>2055355252804.7266</v>
      </c>
      <c r="H96">
        <v>3978955289.0601716</v>
      </c>
      <c r="I96">
        <v>59684329335.902573</v>
      </c>
    </row>
    <row r="97" spans="1:9" x14ac:dyDescent="0.25">
      <c r="A97" t="s">
        <v>214</v>
      </c>
      <c r="B97" t="s">
        <v>215</v>
      </c>
      <c r="C97" t="s">
        <v>35</v>
      </c>
      <c r="D97" t="s">
        <v>523</v>
      </c>
      <c r="E97" t="s">
        <v>524</v>
      </c>
      <c r="F97">
        <v>1.8485663604946341</v>
      </c>
      <c r="G97">
        <v>13202998397.802702</v>
      </c>
      <c r="H97">
        <v>244066186.95842627</v>
      </c>
      <c r="I97">
        <v>3660992804.3763938</v>
      </c>
    </row>
    <row r="98" spans="1:9" x14ac:dyDescent="0.25">
      <c r="A98" t="s">
        <v>216</v>
      </c>
      <c r="B98" t="s">
        <v>217</v>
      </c>
      <c r="C98" t="s">
        <v>26</v>
      </c>
      <c r="D98" t="s">
        <v>523</v>
      </c>
      <c r="E98" t="s">
        <v>524</v>
      </c>
      <c r="F98">
        <v>2.9657280694132E-2</v>
      </c>
      <c r="G98">
        <v>5495379357484.6201</v>
      </c>
      <c r="H98">
        <v>1629780081.2566016</v>
      </c>
      <c r="I98">
        <v>24446701218.849022</v>
      </c>
    </row>
    <row r="99" spans="1:9" x14ac:dyDescent="0.25">
      <c r="A99" t="s">
        <v>218</v>
      </c>
      <c r="B99" t="s">
        <v>219</v>
      </c>
      <c r="C99" t="s">
        <v>22</v>
      </c>
      <c r="D99" t="s">
        <v>523</v>
      </c>
      <c r="E99" t="s">
        <v>524</v>
      </c>
      <c r="F99">
        <v>1.8160744724650395</v>
      </c>
      <c r="G99">
        <v>26425379366.613239</v>
      </c>
      <c r="H99">
        <v>479904568.92910677</v>
      </c>
      <c r="I99">
        <v>7198568533.9366016</v>
      </c>
    </row>
    <row r="100" spans="1:9" x14ac:dyDescent="0.25">
      <c r="A100" t="s">
        <v>220</v>
      </c>
      <c r="B100" t="s">
        <v>221</v>
      </c>
      <c r="C100" t="s">
        <v>19</v>
      </c>
      <c r="D100" t="s">
        <v>523</v>
      </c>
      <c r="E100" t="s">
        <v>524</v>
      </c>
      <c r="F100">
        <v>35.177197231767316</v>
      </c>
      <c r="G100">
        <v>148052371903.63083</v>
      </c>
      <c r="H100">
        <v>52080674870.849876</v>
      </c>
      <c r="I100">
        <v>781210123062.74817</v>
      </c>
    </row>
    <row r="101" spans="1:9" x14ac:dyDescent="0.25">
      <c r="A101" t="s">
        <v>222</v>
      </c>
      <c r="B101" t="s">
        <v>223</v>
      </c>
      <c r="C101" t="s">
        <v>32</v>
      </c>
      <c r="D101" t="s">
        <v>523</v>
      </c>
      <c r="E101" t="s">
        <v>524</v>
      </c>
      <c r="F101">
        <v>4.4081196889961323</v>
      </c>
      <c r="G101">
        <v>32198151217.221405</v>
      </c>
      <c r="H101">
        <v>1419333043.2990847</v>
      </c>
      <c r="I101">
        <v>21289995649.486271</v>
      </c>
    </row>
    <row r="102" spans="1:9" x14ac:dyDescent="0.25">
      <c r="A102" t="s">
        <v>224</v>
      </c>
      <c r="B102" t="s">
        <v>225</v>
      </c>
      <c r="C102" t="s">
        <v>26</v>
      </c>
      <c r="D102" t="s">
        <v>523</v>
      </c>
      <c r="E102" t="s">
        <v>524</v>
      </c>
      <c r="F102">
        <v>9.8027193099277807E-2</v>
      </c>
      <c r="G102">
        <v>150431113.55714548</v>
      </c>
      <c r="H102">
        <v>147463.39816805688</v>
      </c>
      <c r="I102">
        <v>2211950.9725208534</v>
      </c>
    </row>
    <row r="103" spans="1:9" x14ac:dyDescent="0.25">
      <c r="A103" t="s">
        <v>226</v>
      </c>
      <c r="B103" t="s">
        <v>227</v>
      </c>
      <c r="C103" t="s">
        <v>26</v>
      </c>
      <c r="D103" t="s">
        <v>523</v>
      </c>
      <c r="E103" t="s">
        <v>524</v>
      </c>
      <c r="F103" t="s">
        <v>470</v>
      </c>
      <c r="G103" t="s">
        <v>470</v>
      </c>
    </row>
    <row r="104" spans="1:9" x14ac:dyDescent="0.25">
      <c r="A104" t="s">
        <v>228</v>
      </c>
      <c r="B104" t="s">
        <v>229</v>
      </c>
      <c r="C104" t="s">
        <v>26</v>
      </c>
      <c r="D104" t="s">
        <v>523</v>
      </c>
      <c r="E104" t="s">
        <v>524</v>
      </c>
      <c r="F104">
        <v>6.0571388168145911E-2</v>
      </c>
      <c r="G104">
        <v>1014890141871.1439</v>
      </c>
      <c r="H104">
        <v>614733047.31301725</v>
      </c>
      <c r="I104">
        <v>9220995709.6952591</v>
      </c>
    </row>
    <row r="105" spans="1:9" x14ac:dyDescent="0.25">
      <c r="A105" t="s">
        <v>230</v>
      </c>
      <c r="B105" t="s">
        <v>231</v>
      </c>
      <c r="C105" t="s">
        <v>19</v>
      </c>
      <c r="D105" t="s">
        <v>523</v>
      </c>
      <c r="E105" t="s">
        <v>524</v>
      </c>
      <c r="F105">
        <v>3.0851996056330449</v>
      </c>
      <c r="G105">
        <v>5750799436.8984728</v>
      </c>
      <c r="H105">
        <v>177423641.54793903</v>
      </c>
      <c r="I105">
        <v>2661354623.2190857</v>
      </c>
    </row>
    <row r="106" spans="1:9" x14ac:dyDescent="0.25">
      <c r="A106" t="s">
        <v>233</v>
      </c>
      <c r="B106" t="s">
        <v>234</v>
      </c>
      <c r="C106" t="s">
        <v>22</v>
      </c>
      <c r="D106" t="s">
        <v>523</v>
      </c>
      <c r="E106" t="s">
        <v>524</v>
      </c>
      <c r="F106">
        <v>51.74433657181936</v>
      </c>
      <c r="G106">
        <v>119934674734.61612</v>
      </c>
      <c r="H106">
        <v>62059401760.996567</v>
      </c>
      <c r="I106">
        <v>930891026414.94849</v>
      </c>
    </row>
    <row r="107" spans="1:9" x14ac:dyDescent="0.25">
      <c r="A107" t="s">
        <v>235</v>
      </c>
      <c r="B107" t="s">
        <v>236</v>
      </c>
      <c r="C107" t="s">
        <v>19</v>
      </c>
      <c r="D107" t="s">
        <v>523</v>
      </c>
      <c r="E107" t="s">
        <v>524</v>
      </c>
      <c r="F107">
        <v>12.041301011916627</v>
      </c>
      <c r="G107">
        <v>4794361821.2061129</v>
      </c>
      <c r="H107">
        <v>577303538.49183607</v>
      </c>
      <c r="I107">
        <v>8659553077.3775406</v>
      </c>
    </row>
    <row r="108" spans="1:9" x14ac:dyDescent="0.25">
      <c r="A108" t="s">
        <v>237</v>
      </c>
      <c r="B108" t="s">
        <v>238</v>
      </c>
      <c r="C108" t="s">
        <v>26</v>
      </c>
      <c r="D108" t="s">
        <v>523</v>
      </c>
      <c r="E108" t="s">
        <v>524</v>
      </c>
      <c r="F108">
        <v>18.547148443334898</v>
      </c>
      <c r="G108">
        <v>7181441151.897891</v>
      </c>
      <c r="H108">
        <v>1331952550.8132415</v>
      </c>
      <c r="I108">
        <v>19979288262.198624</v>
      </c>
    </row>
    <row r="109" spans="1:9" x14ac:dyDescent="0.25">
      <c r="A109" t="s">
        <v>239</v>
      </c>
      <c r="B109" t="s">
        <v>240</v>
      </c>
      <c r="C109" t="s">
        <v>19</v>
      </c>
      <c r="D109" t="s">
        <v>523</v>
      </c>
      <c r="E109" t="s">
        <v>524</v>
      </c>
      <c r="F109">
        <v>2.4226678301431499</v>
      </c>
      <c r="G109">
        <v>24009680459.986805</v>
      </c>
      <c r="H109">
        <v>581674804.62426615</v>
      </c>
      <c r="I109">
        <v>8725122069.3639927</v>
      </c>
    </row>
    <row r="110" spans="1:9" x14ac:dyDescent="0.25">
      <c r="A110" t="s">
        <v>241</v>
      </c>
      <c r="B110" t="s">
        <v>242</v>
      </c>
      <c r="C110" t="s">
        <v>22</v>
      </c>
      <c r="D110" t="s">
        <v>523</v>
      </c>
      <c r="E110" t="s">
        <v>524</v>
      </c>
      <c r="F110">
        <v>3.4092003361093802E-3</v>
      </c>
      <c r="G110">
        <v>37124378109.452736</v>
      </c>
      <c r="H110">
        <v>1265644.42328598</v>
      </c>
      <c r="I110">
        <v>18984666.3492897</v>
      </c>
    </row>
    <row r="111" spans="1:9" x14ac:dyDescent="0.25">
      <c r="A111" t="s">
        <v>243</v>
      </c>
      <c r="B111" t="s">
        <v>244</v>
      </c>
      <c r="C111" t="s">
        <v>32</v>
      </c>
      <c r="D111" t="s">
        <v>523</v>
      </c>
      <c r="E111" t="s">
        <v>524</v>
      </c>
      <c r="F111">
        <v>4.6855366800823699</v>
      </c>
      <c r="G111">
        <v>2203835214.2934952</v>
      </c>
      <c r="H111">
        <v>103261507.33429362</v>
      </c>
      <c r="I111">
        <v>1548922610.0144043</v>
      </c>
    </row>
    <row r="112" spans="1:9" x14ac:dyDescent="0.25">
      <c r="A112" t="s">
        <v>245</v>
      </c>
      <c r="B112" t="s">
        <v>246</v>
      </c>
      <c r="C112" t="s">
        <v>32</v>
      </c>
      <c r="D112" t="s">
        <v>523</v>
      </c>
      <c r="E112" t="s">
        <v>524</v>
      </c>
      <c r="F112">
        <v>32.038040329557468</v>
      </c>
      <c r="G112">
        <v>1292696475.9587305</v>
      </c>
      <c r="H112">
        <v>414154618.30642617</v>
      </c>
      <c r="I112">
        <v>6212319274.5963926</v>
      </c>
    </row>
    <row r="113" spans="1:9" x14ac:dyDescent="0.25">
      <c r="A113" t="s">
        <v>247</v>
      </c>
      <c r="B113" t="s">
        <v>248</v>
      </c>
      <c r="C113" t="s">
        <v>22</v>
      </c>
      <c r="D113" t="s">
        <v>523</v>
      </c>
      <c r="E113" t="s">
        <v>524</v>
      </c>
      <c r="F113" t="s">
        <v>470</v>
      </c>
      <c r="G113" t="s">
        <v>470</v>
      </c>
    </row>
    <row r="114" spans="1:9" x14ac:dyDescent="0.25">
      <c r="A114" t="s">
        <v>249</v>
      </c>
      <c r="B114" t="s">
        <v>250</v>
      </c>
      <c r="C114" t="s">
        <v>19</v>
      </c>
      <c r="D114" t="s">
        <v>523</v>
      </c>
      <c r="E114" t="s">
        <v>524</v>
      </c>
      <c r="F114" t="s">
        <v>470</v>
      </c>
      <c r="G114" t="s">
        <v>470</v>
      </c>
    </row>
    <row r="115" spans="1:9" x14ac:dyDescent="0.25">
      <c r="A115" t="s">
        <v>251</v>
      </c>
      <c r="B115" t="s">
        <v>252</v>
      </c>
      <c r="C115" t="s">
        <v>19</v>
      </c>
      <c r="D115" t="s">
        <v>523</v>
      </c>
      <c r="E115" t="s">
        <v>524</v>
      </c>
      <c r="F115">
        <v>1.09520763042616</v>
      </c>
      <c r="G115">
        <v>36306384146.107506</v>
      </c>
      <c r="H115">
        <v>397630289.50000304</v>
      </c>
      <c r="I115">
        <v>5964454342.5000458</v>
      </c>
    </row>
    <row r="116" spans="1:9" x14ac:dyDescent="0.25">
      <c r="A116" t="s">
        <v>253</v>
      </c>
      <c r="B116" t="s">
        <v>254</v>
      </c>
      <c r="C116" t="s">
        <v>19</v>
      </c>
      <c r="D116" t="s">
        <v>523</v>
      </c>
      <c r="E116" t="s">
        <v>524</v>
      </c>
      <c r="F116">
        <v>0.11240079787450849</v>
      </c>
      <c r="G116">
        <v>52053324635.073013</v>
      </c>
      <c r="H116">
        <v>58508352.210030153</v>
      </c>
      <c r="I116">
        <v>877625283.15045226</v>
      </c>
    </row>
    <row r="117" spans="1:9" x14ac:dyDescent="0.25">
      <c r="A117" t="s">
        <v>255</v>
      </c>
      <c r="B117" t="s">
        <v>256</v>
      </c>
      <c r="C117" t="s">
        <v>26</v>
      </c>
      <c r="D117" t="s">
        <v>523</v>
      </c>
      <c r="E117" t="s">
        <v>524</v>
      </c>
      <c r="F117">
        <v>9.8302107135367096E-4</v>
      </c>
      <c r="G117">
        <v>28359706123.095051</v>
      </c>
      <c r="H117">
        <v>278781.88696400158</v>
      </c>
      <c r="I117">
        <v>4181728.3044600235</v>
      </c>
    </row>
    <row r="118" spans="1:9" x14ac:dyDescent="0.25">
      <c r="A118" t="s">
        <v>257</v>
      </c>
      <c r="B118" t="s">
        <v>258</v>
      </c>
      <c r="C118" t="s">
        <v>19</v>
      </c>
      <c r="D118" t="s">
        <v>523</v>
      </c>
      <c r="E118" t="s">
        <v>524</v>
      </c>
      <c r="F118">
        <v>4.5442089095581251</v>
      </c>
      <c r="G118">
        <v>9338665630.7617722</v>
      </c>
      <c r="H118">
        <v>424368475.62691891</v>
      </c>
      <c r="I118">
        <v>6365527134.4037838</v>
      </c>
    </row>
    <row r="119" spans="1:9" x14ac:dyDescent="0.25">
      <c r="A119" t="s">
        <v>259</v>
      </c>
      <c r="B119" t="s">
        <v>260</v>
      </c>
      <c r="C119" t="s">
        <v>32</v>
      </c>
      <c r="D119" t="s">
        <v>523</v>
      </c>
      <c r="E119" t="s">
        <v>524</v>
      </c>
      <c r="F119">
        <v>7.8309690787135313</v>
      </c>
      <c r="G119">
        <v>8837041787.4938164</v>
      </c>
      <c r="H119">
        <v>692026009.85163426</v>
      </c>
      <c r="I119">
        <v>10380390147.774513</v>
      </c>
    </row>
    <row r="120" spans="1:9" x14ac:dyDescent="0.25">
      <c r="A120" t="s">
        <v>261</v>
      </c>
      <c r="B120" t="s">
        <v>262</v>
      </c>
      <c r="C120" t="s">
        <v>32</v>
      </c>
      <c r="D120" t="s">
        <v>523</v>
      </c>
      <c r="E120" t="s">
        <v>524</v>
      </c>
      <c r="F120">
        <v>7.4819297192362377</v>
      </c>
      <c r="G120">
        <v>5398616984.591485</v>
      </c>
      <c r="H120">
        <v>403920728.59788555</v>
      </c>
      <c r="I120">
        <v>6058810928.9682837</v>
      </c>
    </row>
    <row r="121" spans="1:9" x14ac:dyDescent="0.25">
      <c r="A121" t="s">
        <v>263</v>
      </c>
      <c r="B121" t="s">
        <v>264</v>
      </c>
      <c r="C121" t="s">
        <v>26</v>
      </c>
      <c r="D121" t="s">
        <v>523</v>
      </c>
      <c r="E121" t="s">
        <v>524</v>
      </c>
      <c r="F121">
        <v>10.770456989595386</v>
      </c>
      <c r="G121">
        <v>247533525517.69818</v>
      </c>
      <c r="H121">
        <v>26660491900.712803</v>
      </c>
      <c r="I121">
        <v>399907378510.69202</v>
      </c>
    </row>
    <row r="122" spans="1:9" x14ac:dyDescent="0.25">
      <c r="A122" t="s">
        <v>265</v>
      </c>
      <c r="B122" t="s">
        <v>266</v>
      </c>
      <c r="C122" t="s">
        <v>15</v>
      </c>
      <c r="D122" t="s">
        <v>523</v>
      </c>
      <c r="E122" t="s">
        <v>524</v>
      </c>
      <c r="F122">
        <v>5.43040478016142E-2</v>
      </c>
      <c r="G122">
        <v>2134104883.7013984</v>
      </c>
      <c r="H122">
        <v>1158905.3361817906</v>
      </c>
      <c r="I122">
        <v>17383580.042726859</v>
      </c>
    </row>
    <row r="123" spans="1:9" x14ac:dyDescent="0.25">
      <c r="A123" t="s">
        <v>267</v>
      </c>
      <c r="B123" t="s">
        <v>268</v>
      </c>
      <c r="C123" t="s">
        <v>32</v>
      </c>
      <c r="D123" t="s">
        <v>523</v>
      </c>
      <c r="E123" t="s">
        <v>524</v>
      </c>
      <c r="F123">
        <v>14.29852420850216</v>
      </c>
      <c r="G123">
        <v>9422267259.989399</v>
      </c>
      <c r="H123">
        <v>1347245165.1593575</v>
      </c>
      <c r="I123">
        <v>20208677477.390362</v>
      </c>
    </row>
    <row r="124" spans="1:9" x14ac:dyDescent="0.25">
      <c r="A124" t="s">
        <v>269</v>
      </c>
      <c r="B124" t="s">
        <v>270</v>
      </c>
      <c r="C124" t="s">
        <v>22</v>
      </c>
      <c r="D124" t="s">
        <v>523</v>
      </c>
      <c r="E124" t="s">
        <v>524</v>
      </c>
      <c r="F124">
        <v>0</v>
      </c>
      <c r="G124">
        <v>8163841059.6026487</v>
      </c>
      <c r="H124">
        <v>0</v>
      </c>
      <c r="I124">
        <v>0</v>
      </c>
    </row>
    <row r="125" spans="1:9" x14ac:dyDescent="0.25">
      <c r="A125" t="s">
        <v>271</v>
      </c>
      <c r="B125" t="s">
        <v>272</v>
      </c>
      <c r="C125" t="s">
        <v>26</v>
      </c>
      <c r="D125" t="s">
        <v>523</v>
      </c>
      <c r="E125" t="s">
        <v>524</v>
      </c>
      <c r="F125">
        <v>0</v>
      </c>
      <c r="G125">
        <v>163200000</v>
      </c>
      <c r="H125">
        <v>0</v>
      </c>
      <c r="I125">
        <v>0</v>
      </c>
    </row>
    <row r="126" spans="1:9" x14ac:dyDescent="0.25">
      <c r="A126" t="s">
        <v>273</v>
      </c>
      <c r="B126" t="s">
        <v>274</v>
      </c>
      <c r="C126" t="s">
        <v>32</v>
      </c>
      <c r="D126" t="s">
        <v>523</v>
      </c>
      <c r="E126" t="s">
        <v>524</v>
      </c>
      <c r="F126">
        <v>54.392880449073836</v>
      </c>
      <c r="G126">
        <v>3671380305.4127717</v>
      </c>
      <c r="H126">
        <v>1996969500.3540106</v>
      </c>
      <c r="I126">
        <v>29954542505.310158</v>
      </c>
    </row>
    <row r="127" spans="1:9" x14ac:dyDescent="0.25">
      <c r="A127" t="s">
        <v>275</v>
      </c>
      <c r="B127" t="s">
        <v>276</v>
      </c>
      <c r="C127" t="s">
        <v>32</v>
      </c>
      <c r="D127" t="s">
        <v>523</v>
      </c>
      <c r="E127" t="s">
        <v>524</v>
      </c>
      <c r="F127">
        <v>7.3861274748189803E-3</v>
      </c>
      <c r="G127">
        <v>9718331362.6382179</v>
      </c>
      <c r="H127">
        <v>717808.34286977118</v>
      </c>
      <c r="I127">
        <v>10767125.143046567</v>
      </c>
    </row>
    <row r="128" spans="1:9" x14ac:dyDescent="0.25">
      <c r="A128" t="s">
        <v>277</v>
      </c>
      <c r="B128" t="s">
        <v>278</v>
      </c>
      <c r="C128" t="s">
        <v>35</v>
      </c>
      <c r="D128" t="s">
        <v>523</v>
      </c>
      <c r="E128" t="s">
        <v>524</v>
      </c>
      <c r="F128">
        <v>7.5913599436322112</v>
      </c>
      <c r="G128">
        <v>1047368841686.0562</v>
      </c>
      <c r="H128">
        <v>79509538709.839935</v>
      </c>
      <c r="I128">
        <v>1192643080647.5991</v>
      </c>
    </row>
    <row r="129" spans="1:9" x14ac:dyDescent="0.25">
      <c r="A129" t="s">
        <v>279</v>
      </c>
      <c r="B129" t="s">
        <v>280</v>
      </c>
      <c r="C129" t="s">
        <v>26</v>
      </c>
      <c r="D129" t="s">
        <v>523</v>
      </c>
      <c r="E129" t="s">
        <v>524</v>
      </c>
      <c r="F129">
        <v>4.1721606704520998E-2</v>
      </c>
      <c r="G129">
        <v>294117230.497109</v>
      </c>
      <c r="H129">
        <v>122710.4341582333</v>
      </c>
      <c r="I129">
        <v>1840656.5123734996</v>
      </c>
    </row>
    <row r="130" spans="1:9" x14ac:dyDescent="0.25">
      <c r="A130" t="s">
        <v>281</v>
      </c>
      <c r="B130" t="s">
        <v>282</v>
      </c>
      <c r="C130" t="s">
        <v>19</v>
      </c>
      <c r="D130" t="s">
        <v>523</v>
      </c>
      <c r="E130" t="s">
        <v>524</v>
      </c>
      <c r="F130">
        <v>0.46191784609207798</v>
      </c>
      <c r="G130">
        <v>5811622393.9868851</v>
      </c>
      <c r="H130">
        <v>26844920.985309076</v>
      </c>
      <c r="I130">
        <v>402673814.77963614</v>
      </c>
    </row>
    <row r="131" spans="1:9" x14ac:dyDescent="0.25">
      <c r="A131" t="s">
        <v>283</v>
      </c>
      <c r="B131" t="s">
        <v>284</v>
      </c>
      <c r="C131" t="s">
        <v>19</v>
      </c>
      <c r="D131" t="s">
        <v>523</v>
      </c>
      <c r="E131" t="s">
        <v>524</v>
      </c>
      <c r="F131">
        <v>0</v>
      </c>
      <c r="G131">
        <v>5350993377.4834433</v>
      </c>
      <c r="H131">
        <v>0</v>
      </c>
      <c r="I131">
        <v>0</v>
      </c>
    </row>
    <row r="132" spans="1:9" x14ac:dyDescent="0.25">
      <c r="A132" t="s">
        <v>285</v>
      </c>
      <c r="B132" t="s">
        <v>286</v>
      </c>
      <c r="C132" t="s">
        <v>26</v>
      </c>
      <c r="D132" t="s">
        <v>523</v>
      </c>
      <c r="E132" t="s">
        <v>524</v>
      </c>
      <c r="F132">
        <v>41.593239573240091</v>
      </c>
      <c r="G132">
        <v>6200357070.1147966</v>
      </c>
      <c r="H132">
        <v>2578929370.5691776</v>
      </c>
      <c r="I132">
        <v>38683940558.537666</v>
      </c>
    </row>
    <row r="133" spans="1:9" x14ac:dyDescent="0.25">
      <c r="A133" t="s">
        <v>287</v>
      </c>
      <c r="B133" t="s">
        <v>288</v>
      </c>
      <c r="C133" t="s">
        <v>19</v>
      </c>
      <c r="D133" t="s">
        <v>523</v>
      </c>
      <c r="E133" t="s">
        <v>524</v>
      </c>
      <c r="F133">
        <v>1.4059501547408735</v>
      </c>
      <c r="G133">
        <v>4114780573.5000005</v>
      </c>
      <c r="H133">
        <v>57851763.840370655</v>
      </c>
      <c r="I133">
        <v>867776457.60555983</v>
      </c>
    </row>
    <row r="134" spans="1:9" x14ac:dyDescent="0.25">
      <c r="A134" t="s">
        <v>289</v>
      </c>
      <c r="B134" t="s">
        <v>290</v>
      </c>
      <c r="C134" t="s">
        <v>22</v>
      </c>
      <c r="D134" t="s">
        <v>523</v>
      </c>
      <c r="E134" t="s">
        <v>524</v>
      </c>
      <c r="F134">
        <v>3.0324095557596298</v>
      </c>
      <c r="G134">
        <v>90770671431.669601</v>
      </c>
      <c r="H134">
        <v>2752538514.3211255</v>
      </c>
      <c r="I134">
        <v>41288077714.816879</v>
      </c>
    </row>
    <row r="135" spans="1:9" x14ac:dyDescent="0.25">
      <c r="A135" t="s">
        <v>291</v>
      </c>
      <c r="B135" t="s">
        <v>292</v>
      </c>
      <c r="C135" t="s">
        <v>32</v>
      </c>
      <c r="D135" t="s">
        <v>523</v>
      </c>
      <c r="E135" t="s">
        <v>524</v>
      </c>
      <c r="F135">
        <v>15.832568183424195</v>
      </c>
      <c r="G135">
        <v>9274448731.9161205</v>
      </c>
      <c r="H135">
        <v>1468383419.1173403</v>
      </c>
      <c r="I135">
        <v>22025751286.760105</v>
      </c>
    </row>
    <row r="136" spans="1:9" x14ac:dyDescent="0.25">
      <c r="A136" t="s">
        <v>293</v>
      </c>
      <c r="B136" t="s">
        <v>294</v>
      </c>
      <c r="C136" t="s">
        <v>26</v>
      </c>
      <c r="D136" t="s">
        <v>523</v>
      </c>
      <c r="E136" t="s">
        <v>524</v>
      </c>
      <c r="F136" t="s">
        <v>470</v>
      </c>
      <c r="G136" t="s">
        <v>470</v>
      </c>
    </row>
    <row r="137" spans="1:9" x14ac:dyDescent="0.25">
      <c r="A137" t="s">
        <v>295</v>
      </c>
      <c r="B137" t="s">
        <v>296</v>
      </c>
      <c r="C137" t="s">
        <v>32</v>
      </c>
      <c r="D137" t="s">
        <v>523</v>
      </c>
      <c r="E137" t="s">
        <v>524</v>
      </c>
      <c r="F137">
        <v>2.9151173803852481</v>
      </c>
      <c r="G137">
        <v>11065912279.381615</v>
      </c>
      <c r="H137">
        <v>322584332.15443879</v>
      </c>
      <c r="I137">
        <v>4838764982.3165817</v>
      </c>
    </row>
    <row r="138" spans="1:9" x14ac:dyDescent="0.25">
      <c r="A138" t="s">
        <v>297</v>
      </c>
      <c r="B138" t="s">
        <v>298</v>
      </c>
      <c r="C138" t="s">
        <v>15</v>
      </c>
      <c r="D138" t="s">
        <v>523</v>
      </c>
      <c r="E138" t="s">
        <v>524</v>
      </c>
      <c r="F138">
        <v>6.8045074054451584</v>
      </c>
      <c r="G138">
        <v>16010389261.744967</v>
      </c>
      <c r="H138">
        <v>1089428122.9560325</v>
      </c>
      <c r="I138">
        <v>16341421844.340488</v>
      </c>
    </row>
    <row r="139" spans="1:9" x14ac:dyDescent="0.25">
      <c r="A139" t="s">
        <v>299</v>
      </c>
      <c r="B139" t="s">
        <v>300</v>
      </c>
      <c r="C139" t="s">
        <v>19</v>
      </c>
      <c r="D139" t="s">
        <v>523</v>
      </c>
      <c r="E139" t="s">
        <v>524</v>
      </c>
      <c r="F139">
        <v>1.2685758853300086</v>
      </c>
      <c r="G139">
        <v>777157702271.34741</v>
      </c>
      <c r="H139">
        <v>9858835201.9990978</v>
      </c>
      <c r="I139">
        <v>147882528029.98648</v>
      </c>
    </row>
    <row r="140" spans="1:9" x14ac:dyDescent="0.25">
      <c r="A140" t="s">
        <v>301</v>
      </c>
      <c r="B140" t="s">
        <v>302</v>
      </c>
      <c r="C140" t="s">
        <v>26</v>
      </c>
      <c r="D140" t="s">
        <v>523</v>
      </c>
      <c r="E140" t="s">
        <v>524</v>
      </c>
      <c r="F140" t="s">
        <v>470</v>
      </c>
      <c r="G140" t="s">
        <v>470</v>
      </c>
    </row>
    <row r="141" spans="1:9" x14ac:dyDescent="0.25">
      <c r="A141" t="s">
        <v>303</v>
      </c>
      <c r="B141" t="s">
        <v>304</v>
      </c>
      <c r="C141" t="s">
        <v>26</v>
      </c>
      <c r="D141" t="s">
        <v>523</v>
      </c>
      <c r="E141" t="s">
        <v>524</v>
      </c>
      <c r="F141">
        <v>2.4114971311467395</v>
      </c>
      <c r="G141">
        <v>143246762589.92807</v>
      </c>
      <c r="H141">
        <v>3454391570.3166966</v>
      </c>
      <c r="I141">
        <v>51815873554.75045</v>
      </c>
    </row>
    <row r="142" spans="1:9" x14ac:dyDescent="0.25">
      <c r="A142" t="s">
        <v>305</v>
      </c>
      <c r="B142" t="s">
        <v>306</v>
      </c>
      <c r="C142" t="s">
        <v>35</v>
      </c>
      <c r="D142" t="s">
        <v>523</v>
      </c>
      <c r="E142" t="s">
        <v>524</v>
      </c>
      <c r="F142">
        <v>5.8143134594674448</v>
      </c>
      <c r="G142">
        <v>8586295846.083024</v>
      </c>
      <c r="H142">
        <v>499234155.04849941</v>
      </c>
      <c r="I142">
        <v>7488512325.7274914</v>
      </c>
    </row>
    <row r="143" spans="1:9" x14ac:dyDescent="0.25">
      <c r="A143" t="s">
        <v>307</v>
      </c>
      <c r="B143" t="s">
        <v>308</v>
      </c>
      <c r="C143" t="s">
        <v>32</v>
      </c>
      <c r="D143" t="s">
        <v>523</v>
      </c>
      <c r="E143" t="s">
        <v>524</v>
      </c>
      <c r="F143">
        <v>10.776781140764871</v>
      </c>
      <c r="G143">
        <v>5718589550.1634874</v>
      </c>
      <c r="H143">
        <v>616279880.15976942</v>
      </c>
      <c r="I143">
        <v>9244198202.3965416</v>
      </c>
    </row>
    <row r="144" spans="1:9" x14ac:dyDescent="0.25">
      <c r="A144" t="s">
        <v>309</v>
      </c>
      <c r="B144" t="s">
        <v>310</v>
      </c>
      <c r="C144" t="s">
        <v>32</v>
      </c>
      <c r="D144" t="s">
        <v>523</v>
      </c>
      <c r="E144" t="s">
        <v>524</v>
      </c>
      <c r="F144">
        <v>28.817217541476111</v>
      </c>
      <c r="G144">
        <v>366351329633.24036</v>
      </c>
      <c r="H144">
        <v>105572259626.5011</v>
      </c>
      <c r="I144">
        <v>1583583894397.5166</v>
      </c>
    </row>
    <row r="145" spans="1:9" x14ac:dyDescent="0.25">
      <c r="A145" t="s">
        <v>311</v>
      </c>
      <c r="B145" t="s">
        <v>312</v>
      </c>
      <c r="C145" t="s">
        <v>26</v>
      </c>
      <c r="D145" t="s">
        <v>523</v>
      </c>
      <c r="E145" t="s">
        <v>524</v>
      </c>
      <c r="F145" t="s">
        <v>470</v>
      </c>
      <c r="G145" t="s">
        <v>470</v>
      </c>
    </row>
    <row r="146" spans="1:9" x14ac:dyDescent="0.25">
      <c r="A146" t="s">
        <v>313</v>
      </c>
      <c r="B146" t="s">
        <v>314</v>
      </c>
      <c r="C146" t="s">
        <v>19</v>
      </c>
      <c r="D146" t="s">
        <v>523</v>
      </c>
      <c r="E146" t="s">
        <v>524</v>
      </c>
      <c r="F146">
        <v>13.269909852591358</v>
      </c>
      <c r="G146">
        <v>421236092715.23181</v>
      </c>
      <c r="H146">
        <v>55897649769.889412</v>
      </c>
      <c r="I146">
        <v>838464746548.34119</v>
      </c>
    </row>
    <row r="147" spans="1:9" x14ac:dyDescent="0.25">
      <c r="A147" t="s">
        <v>315</v>
      </c>
      <c r="B147" t="s">
        <v>316</v>
      </c>
      <c r="C147" t="s">
        <v>22</v>
      </c>
      <c r="D147" t="s">
        <v>523</v>
      </c>
      <c r="E147" t="s">
        <v>524</v>
      </c>
      <c r="F147">
        <v>41.966423995325499</v>
      </c>
      <c r="G147">
        <v>58813004375.260063</v>
      </c>
      <c r="H147">
        <v>24681714780.510975</v>
      </c>
      <c r="I147">
        <v>370225721707.66461</v>
      </c>
    </row>
    <row r="148" spans="1:9" x14ac:dyDescent="0.25">
      <c r="A148" t="s">
        <v>317</v>
      </c>
      <c r="B148" t="s">
        <v>318</v>
      </c>
      <c r="C148" t="s">
        <v>15</v>
      </c>
      <c r="D148" t="s">
        <v>523</v>
      </c>
      <c r="E148" t="s">
        <v>524</v>
      </c>
      <c r="F148">
        <v>4.800312421374537</v>
      </c>
      <c r="G148">
        <v>177406854514.88455</v>
      </c>
      <c r="H148">
        <v>8516083273.6478567</v>
      </c>
      <c r="I148">
        <v>127741249104.71785</v>
      </c>
    </row>
    <row r="149" spans="1:9" x14ac:dyDescent="0.25">
      <c r="A149" t="s">
        <v>319</v>
      </c>
      <c r="B149" t="s">
        <v>320</v>
      </c>
      <c r="C149" t="s">
        <v>26</v>
      </c>
      <c r="D149" t="s">
        <v>523</v>
      </c>
      <c r="E149" t="s">
        <v>524</v>
      </c>
      <c r="F149">
        <v>0</v>
      </c>
      <c r="G149">
        <v>196543326.07973501</v>
      </c>
      <c r="H149">
        <v>0</v>
      </c>
      <c r="I149">
        <v>0</v>
      </c>
    </row>
    <row r="150" spans="1:9" x14ac:dyDescent="0.25">
      <c r="A150" t="s">
        <v>321</v>
      </c>
      <c r="B150" t="s">
        <v>322</v>
      </c>
      <c r="C150" t="s">
        <v>35</v>
      </c>
      <c r="D150" t="s">
        <v>523</v>
      </c>
      <c r="E150" t="s">
        <v>524</v>
      </c>
      <c r="F150">
        <v>0.83921556852052892</v>
      </c>
      <c r="G150">
        <v>26589600000</v>
      </c>
      <c r="H150">
        <v>223144062.80733454</v>
      </c>
      <c r="I150">
        <v>3347160942.1100183</v>
      </c>
    </row>
    <row r="151" spans="1:9" x14ac:dyDescent="0.25">
      <c r="A151" t="s">
        <v>323</v>
      </c>
      <c r="B151" t="s">
        <v>324</v>
      </c>
      <c r="C151" t="s">
        <v>26</v>
      </c>
      <c r="D151" t="s">
        <v>523</v>
      </c>
      <c r="E151" t="s">
        <v>524</v>
      </c>
      <c r="F151">
        <v>43.272197854213111</v>
      </c>
      <c r="G151">
        <v>9480047958.8083858</v>
      </c>
      <c r="H151">
        <v>4102225109.4098563</v>
      </c>
      <c r="I151">
        <v>61533376641.147842</v>
      </c>
    </row>
    <row r="152" spans="1:9" x14ac:dyDescent="0.25">
      <c r="A152" t="s">
        <v>325</v>
      </c>
      <c r="B152" t="s">
        <v>326</v>
      </c>
      <c r="C152" t="s">
        <v>35</v>
      </c>
      <c r="D152" t="s">
        <v>523</v>
      </c>
      <c r="E152" t="s">
        <v>524</v>
      </c>
      <c r="F152">
        <v>5.5247212114197604</v>
      </c>
      <c r="G152">
        <v>20028375553.907707</v>
      </c>
      <c r="H152">
        <v>1106511912.5295491</v>
      </c>
      <c r="I152">
        <v>16597678687.943237</v>
      </c>
    </row>
    <row r="153" spans="1:9" x14ac:dyDescent="0.25">
      <c r="A153" t="s">
        <v>327</v>
      </c>
      <c r="B153" t="s">
        <v>328</v>
      </c>
      <c r="C153" t="s">
        <v>35</v>
      </c>
      <c r="D153" t="s">
        <v>523</v>
      </c>
      <c r="E153" t="s">
        <v>524</v>
      </c>
      <c r="F153">
        <v>11.974651784065495</v>
      </c>
      <c r="G153">
        <v>157609814184.39719</v>
      </c>
      <c r="H153">
        <v>18873226426.094227</v>
      </c>
      <c r="I153">
        <v>283098396391.41339</v>
      </c>
    </row>
    <row r="154" spans="1:9" x14ac:dyDescent="0.25">
      <c r="A154" t="s">
        <v>329</v>
      </c>
      <c r="B154" t="s">
        <v>330</v>
      </c>
      <c r="C154" t="s">
        <v>26</v>
      </c>
      <c r="D154" t="s">
        <v>523</v>
      </c>
      <c r="E154" t="s">
        <v>524</v>
      </c>
      <c r="F154">
        <v>3.8998833343997625</v>
      </c>
      <c r="G154">
        <v>199589447424.07449</v>
      </c>
      <c r="H154">
        <v>7783755597.3120575</v>
      </c>
      <c r="I154">
        <v>116756333959.68086</v>
      </c>
    </row>
    <row r="155" spans="1:9" x14ac:dyDescent="0.25">
      <c r="A155" t="s">
        <v>331</v>
      </c>
      <c r="B155" t="s">
        <v>332</v>
      </c>
      <c r="C155" t="s">
        <v>19</v>
      </c>
      <c r="D155" t="s">
        <v>523</v>
      </c>
      <c r="E155" t="s">
        <v>524</v>
      </c>
      <c r="F155">
        <v>1.8838175996695168</v>
      </c>
      <c r="G155">
        <v>469736810690.71863</v>
      </c>
      <c r="H155">
        <v>8848984711.9180393</v>
      </c>
      <c r="I155">
        <v>132734770678.77058</v>
      </c>
    </row>
    <row r="156" spans="1:9" x14ac:dyDescent="0.25">
      <c r="A156" t="s">
        <v>333</v>
      </c>
      <c r="B156" t="s">
        <v>334</v>
      </c>
      <c r="C156" t="s">
        <v>19</v>
      </c>
      <c r="D156" t="s">
        <v>523</v>
      </c>
      <c r="E156" t="s">
        <v>524</v>
      </c>
      <c r="F156">
        <v>0.60390561367040507</v>
      </c>
      <c r="G156">
        <v>228939349298.93707</v>
      </c>
      <c r="H156">
        <v>1382577582.3167782</v>
      </c>
      <c r="I156">
        <v>20738663734.751671</v>
      </c>
    </row>
    <row r="157" spans="1:9" x14ac:dyDescent="0.25">
      <c r="A157" t="s">
        <v>335</v>
      </c>
      <c r="B157" t="s">
        <v>336</v>
      </c>
      <c r="C157" t="s">
        <v>35</v>
      </c>
      <c r="D157" t="s">
        <v>523</v>
      </c>
      <c r="E157" t="s">
        <v>524</v>
      </c>
      <c r="F157">
        <v>0</v>
      </c>
      <c r="G157">
        <v>97147300000</v>
      </c>
      <c r="H157">
        <v>0</v>
      </c>
      <c r="I157">
        <v>0</v>
      </c>
    </row>
    <row r="158" spans="1:9" x14ac:dyDescent="0.25">
      <c r="A158" t="s">
        <v>337</v>
      </c>
      <c r="B158" t="s">
        <v>338</v>
      </c>
      <c r="C158" t="s">
        <v>22</v>
      </c>
      <c r="D158" t="s">
        <v>523</v>
      </c>
      <c r="E158" t="s">
        <v>524</v>
      </c>
      <c r="F158">
        <v>28.428277125993141</v>
      </c>
      <c r="G158">
        <v>127332413912.71945</v>
      </c>
      <c r="H158">
        <v>36198411498.324532</v>
      </c>
      <c r="I158">
        <v>542976172474.86798</v>
      </c>
    </row>
    <row r="159" spans="1:9" x14ac:dyDescent="0.25">
      <c r="A159" t="s">
        <v>339</v>
      </c>
      <c r="B159" t="s">
        <v>340</v>
      </c>
      <c r="C159" t="s">
        <v>19</v>
      </c>
      <c r="D159" t="s">
        <v>523</v>
      </c>
      <c r="E159" t="s">
        <v>524</v>
      </c>
      <c r="F159">
        <v>2.5192576391427188</v>
      </c>
      <c r="G159">
        <v>164792252745.52377</v>
      </c>
      <c r="H159">
        <v>4151541416.0069842</v>
      </c>
      <c r="I159">
        <v>62273121240.104767</v>
      </c>
    </row>
    <row r="160" spans="1:9" x14ac:dyDescent="0.25">
      <c r="A160" t="s">
        <v>341</v>
      </c>
      <c r="B160" t="s">
        <v>342</v>
      </c>
      <c r="C160" t="s">
        <v>19</v>
      </c>
      <c r="D160" t="s">
        <v>523</v>
      </c>
      <c r="E160" t="s">
        <v>524</v>
      </c>
      <c r="F160">
        <v>21.089819619488924</v>
      </c>
      <c r="G160">
        <v>1524916698233.3093</v>
      </c>
      <c r="H160">
        <v>321602181004.87122</v>
      </c>
      <c r="I160">
        <v>4824032715073.0684</v>
      </c>
    </row>
    <row r="161" spans="1:9" x14ac:dyDescent="0.25">
      <c r="A161" t="s">
        <v>343</v>
      </c>
      <c r="B161" t="s">
        <v>344</v>
      </c>
      <c r="C161" t="s">
        <v>32</v>
      </c>
      <c r="D161" t="s">
        <v>523</v>
      </c>
      <c r="E161" t="s">
        <v>524</v>
      </c>
      <c r="F161">
        <v>6.6662313388374619</v>
      </c>
      <c r="G161">
        <v>5624506157.4106731</v>
      </c>
      <c r="H161">
        <v>374942592.12015301</v>
      </c>
      <c r="I161">
        <v>5624138881.8022947</v>
      </c>
    </row>
    <row r="162" spans="1:9" x14ac:dyDescent="0.25">
      <c r="A162" t="s">
        <v>345</v>
      </c>
      <c r="B162" t="s">
        <v>346</v>
      </c>
      <c r="C162" t="s">
        <v>26</v>
      </c>
      <c r="D162" t="s">
        <v>523</v>
      </c>
      <c r="E162" t="s">
        <v>524</v>
      </c>
      <c r="F162">
        <v>0.73142859258279902</v>
      </c>
      <c r="G162">
        <v>572160378.28785348</v>
      </c>
      <c r="H162">
        <v>4184944.6022272655</v>
      </c>
      <c r="I162">
        <v>62774169.033408985</v>
      </c>
    </row>
    <row r="163" spans="1:9" x14ac:dyDescent="0.25">
      <c r="A163" t="s">
        <v>347</v>
      </c>
      <c r="B163" t="s">
        <v>348</v>
      </c>
      <c r="C163" t="s">
        <v>19</v>
      </c>
      <c r="D163" t="s">
        <v>523</v>
      </c>
      <c r="E163" t="s">
        <v>524</v>
      </c>
      <c r="F163" t="s">
        <v>470</v>
      </c>
      <c r="G163" t="s">
        <v>470</v>
      </c>
    </row>
    <row r="164" spans="1:9" x14ac:dyDescent="0.25">
      <c r="A164" t="s">
        <v>349</v>
      </c>
      <c r="B164" t="s">
        <v>350</v>
      </c>
      <c r="C164" t="s">
        <v>32</v>
      </c>
      <c r="D164" t="s">
        <v>523</v>
      </c>
      <c r="E164" t="s">
        <v>524</v>
      </c>
      <c r="F164">
        <v>3.20779196222714</v>
      </c>
      <c r="G164">
        <v>201037916.58370778</v>
      </c>
      <c r="H164">
        <v>6448878.1292010797</v>
      </c>
      <c r="I164">
        <v>96733171.938016191</v>
      </c>
    </row>
    <row r="165" spans="1:9" x14ac:dyDescent="0.25">
      <c r="A165" t="s">
        <v>351</v>
      </c>
      <c r="B165" t="s">
        <v>352</v>
      </c>
      <c r="C165" t="s">
        <v>22</v>
      </c>
      <c r="D165" t="s">
        <v>523</v>
      </c>
      <c r="E165" t="s">
        <v>524</v>
      </c>
      <c r="F165">
        <v>43.170977305830661</v>
      </c>
      <c r="G165">
        <v>526811466666.66669</v>
      </c>
      <c r="H165">
        <v>227429658719.18033</v>
      </c>
      <c r="I165">
        <v>3411444880787.7051</v>
      </c>
    </row>
    <row r="166" spans="1:9" x14ac:dyDescent="0.25">
      <c r="A166" t="s">
        <v>353</v>
      </c>
      <c r="B166" t="s">
        <v>354</v>
      </c>
      <c r="C166" t="s">
        <v>32</v>
      </c>
      <c r="D166" t="s">
        <v>523</v>
      </c>
      <c r="E166" t="s">
        <v>524</v>
      </c>
      <c r="F166">
        <v>4.265177969496972</v>
      </c>
      <c r="G166">
        <v>12932427724.350752</v>
      </c>
      <c r="H166">
        <v>551591058.22012687</v>
      </c>
      <c r="I166">
        <v>8273865873.3019028</v>
      </c>
    </row>
    <row r="167" spans="1:9" x14ac:dyDescent="0.25">
      <c r="A167" t="s">
        <v>355</v>
      </c>
      <c r="B167" t="s">
        <v>356</v>
      </c>
      <c r="C167" t="s">
        <v>19</v>
      </c>
      <c r="D167" t="s">
        <v>523</v>
      </c>
      <c r="E167" t="s">
        <v>524</v>
      </c>
      <c r="F167">
        <v>3.3887717521638168</v>
      </c>
      <c r="G167">
        <v>36990001283.53228</v>
      </c>
      <c r="H167">
        <v>1253506714.6213751</v>
      </c>
      <c r="I167">
        <v>18802600719.320625</v>
      </c>
    </row>
    <row r="168" spans="1:9" x14ac:dyDescent="0.25">
      <c r="A168" t="s">
        <v>357</v>
      </c>
      <c r="B168" t="s">
        <v>358</v>
      </c>
      <c r="C168" t="s">
        <v>32</v>
      </c>
      <c r="D168" t="s">
        <v>523</v>
      </c>
      <c r="E168" t="s">
        <v>524</v>
      </c>
      <c r="F168">
        <v>0.11969352001283499</v>
      </c>
      <c r="G168">
        <v>969973774.81817734</v>
      </c>
      <c r="H168">
        <v>1160995.7542812461</v>
      </c>
      <c r="I168">
        <v>17414936.314218692</v>
      </c>
    </row>
    <row r="169" spans="1:9" x14ac:dyDescent="0.25">
      <c r="A169" t="s">
        <v>359</v>
      </c>
      <c r="B169" t="s">
        <v>360</v>
      </c>
      <c r="C169" t="s">
        <v>32</v>
      </c>
      <c r="D169" t="s">
        <v>523</v>
      </c>
      <c r="E169" t="s">
        <v>524</v>
      </c>
      <c r="F169">
        <v>12.0347909620669</v>
      </c>
      <c r="G169">
        <v>2575466372.2683105</v>
      </c>
      <c r="H169">
        <v>309951994.2008189</v>
      </c>
      <c r="I169">
        <v>4649279913.0122833</v>
      </c>
    </row>
    <row r="170" spans="1:9" x14ac:dyDescent="0.25">
      <c r="A170" t="s">
        <v>361</v>
      </c>
      <c r="B170" t="s">
        <v>362</v>
      </c>
      <c r="C170" t="s">
        <v>26</v>
      </c>
      <c r="D170" t="s">
        <v>523</v>
      </c>
      <c r="E170" t="s">
        <v>524</v>
      </c>
      <c r="F170">
        <v>0</v>
      </c>
      <c r="G170">
        <v>231697300468.76682</v>
      </c>
      <c r="H170">
        <v>0</v>
      </c>
      <c r="I170">
        <v>0</v>
      </c>
    </row>
    <row r="171" spans="1:9" x14ac:dyDescent="0.25">
      <c r="A171" t="s">
        <v>363</v>
      </c>
      <c r="B171" t="s">
        <v>364</v>
      </c>
      <c r="C171" t="s">
        <v>35</v>
      </c>
      <c r="D171" t="s">
        <v>523</v>
      </c>
      <c r="E171" t="s">
        <v>524</v>
      </c>
      <c r="F171" t="s">
        <v>470</v>
      </c>
      <c r="G171" t="s">
        <v>470</v>
      </c>
    </row>
    <row r="172" spans="1:9" x14ac:dyDescent="0.25">
      <c r="A172" t="s">
        <v>365</v>
      </c>
      <c r="B172" t="s">
        <v>366</v>
      </c>
      <c r="C172" t="s">
        <v>19</v>
      </c>
      <c r="D172" t="s">
        <v>523</v>
      </c>
      <c r="E172" t="s">
        <v>524</v>
      </c>
      <c r="F172">
        <v>0.67320232686749171</v>
      </c>
      <c r="G172">
        <v>87077443708.609268</v>
      </c>
      <c r="H172">
        <v>586207377.22308779</v>
      </c>
      <c r="I172">
        <v>8793110658.3463173</v>
      </c>
    </row>
    <row r="173" spans="1:9" x14ac:dyDescent="0.25">
      <c r="A173" t="s">
        <v>367</v>
      </c>
      <c r="B173" t="s">
        <v>368</v>
      </c>
      <c r="C173" t="s">
        <v>19</v>
      </c>
      <c r="D173" t="s">
        <v>523</v>
      </c>
      <c r="E173" t="s">
        <v>524</v>
      </c>
      <c r="F173">
        <v>0.38181485734427278</v>
      </c>
      <c r="G173">
        <v>46908328071.270065</v>
      </c>
      <c r="H173">
        <v>179102965.90790325</v>
      </c>
      <c r="I173">
        <v>2686544488.6185489</v>
      </c>
    </row>
    <row r="174" spans="1:9" x14ac:dyDescent="0.25">
      <c r="A174" t="s">
        <v>369</v>
      </c>
      <c r="B174" t="s">
        <v>370</v>
      </c>
      <c r="C174" t="s">
        <v>26</v>
      </c>
      <c r="D174" t="s">
        <v>523</v>
      </c>
      <c r="E174" t="s">
        <v>524</v>
      </c>
      <c r="F174">
        <v>26.2164407731088</v>
      </c>
      <c r="G174">
        <v>678625481.68675137</v>
      </c>
      <c r="H174">
        <v>177911447.47763148</v>
      </c>
      <c r="I174">
        <v>2668671712.1644721</v>
      </c>
    </row>
    <row r="175" spans="1:9" x14ac:dyDescent="0.25">
      <c r="A175" t="s">
        <v>371</v>
      </c>
      <c r="B175" t="s">
        <v>372</v>
      </c>
      <c r="C175" t="s">
        <v>32</v>
      </c>
      <c r="D175" t="s">
        <v>523</v>
      </c>
      <c r="E175" t="s">
        <v>524</v>
      </c>
      <c r="F175" t="s">
        <v>470</v>
      </c>
      <c r="G175" t="s">
        <v>470</v>
      </c>
    </row>
    <row r="176" spans="1:9" x14ac:dyDescent="0.25">
      <c r="A176" t="s">
        <v>373</v>
      </c>
      <c r="B176" t="s">
        <v>374</v>
      </c>
      <c r="C176" t="s">
        <v>32</v>
      </c>
      <c r="D176" t="s">
        <v>523</v>
      </c>
      <c r="E176" t="s">
        <v>524</v>
      </c>
      <c r="F176">
        <v>8.0590150790411563</v>
      </c>
      <c r="G176">
        <v>363240728680.38367</v>
      </c>
      <c r="H176">
        <v>29273625097.571095</v>
      </c>
      <c r="I176">
        <v>439104376463.56641</v>
      </c>
    </row>
    <row r="177" spans="1:9" x14ac:dyDescent="0.25">
      <c r="A177" t="s">
        <v>375</v>
      </c>
      <c r="B177" t="s">
        <v>376</v>
      </c>
      <c r="C177" t="s">
        <v>32</v>
      </c>
      <c r="D177" t="s">
        <v>523</v>
      </c>
      <c r="E177" t="s">
        <v>524</v>
      </c>
      <c r="F177">
        <v>0</v>
      </c>
      <c r="G177">
        <v>15178973598.073324</v>
      </c>
      <c r="H177">
        <v>0</v>
      </c>
      <c r="I177">
        <v>0</v>
      </c>
    </row>
    <row r="178" spans="1:9" x14ac:dyDescent="0.25">
      <c r="A178" t="s">
        <v>377</v>
      </c>
      <c r="B178" t="s">
        <v>378</v>
      </c>
      <c r="C178" t="s">
        <v>19</v>
      </c>
      <c r="D178" t="s">
        <v>523</v>
      </c>
      <c r="E178" t="s">
        <v>524</v>
      </c>
      <c r="F178">
        <v>0.15310718804098844</v>
      </c>
      <c r="G178">
        <v>1384844699967.0518</v>
      </c>
      <c r="H178">
        <v>2120296778.8542163</v>
      </c>
      <c r="I178">
        <v>31804451682.813244</v>
      </c>
    </row>
    <row r="179" spans="1:9" x14ac:dyDescent="0.25">
      <c r="A179" t="s">
        <v>379</v>
      </c>
      <c r="B179" t="s">
        <v>380</v>
      </c>
      <c r="C179" t="s">
        <v>15</v>
      </c>
      <c r="D179" t="s">
        <v>523</v>
      </c>
      <c r="E179" t="s">
        <v>524</v>
      </c>
      <c r="F179">
        <v>0.93654163372467725</v>
      </c>
      <c r="G179">
        <v>49567521669.909782</v>
      </c>
      <c r="H179">
        <v>464220477.24420649</v>
      </c>
      <c r="I179">
        <v>6963307158.6630974</v>
      </c>
    </row>
    <row r="180" spans="1:9" x14ac:dyDescent="0.25">
      <c r="A180" t="s">
        <v>381</v>
      </c>
      <c r="B180" t="s">
        <v>382</v>
      </c>
      <c r="C180" t="s">
        <v>35</v>
      </c>
      <c r="D180" t="s">
        <v>523</v>
      </c>
      <c r="E180" t="s">
        <v>524</v>
      </c>
      <c r="F180">
        <v>0</v>
      </c>
      <c r="G180">
        <v>675553707.77777779</v>
      </c>
      <c r="H180">
        <v>0</v>
      </c>
      <c r="I180">
        <v>0</v>
      </c>
    </row>
    <row r="181" spans="1:9" x14ac:dyDescent="0.25">
      <c r="A181" t="s">
        <v>383</v>
      </c>
      <c r="B181" t="s">
        <v>384</v>
      </c>
      <c r="C181" t="s">
        <v>35</v>
      </c>
      <c r="D181" t="s">
        <v>523</v>
      </c>
      <c r="E181" t="s">
        <v>524</v>
      </c>
      <c r="F181">
        <v>5.32297482745685E-2</v>
      </c>
      <c r="G181">
        <v>1208853571.1111109</v>
      </c>
      <c r="H181">
        <v>643469.71291057637</v>
      </c>
      <c r="I181">
        <v>9652045.6936586462</v>
      </c>
    </row>
    <row r="182" spans="1:9" x14ac:dyDescent="0.25">
      <c r="A182" t="s">
        <v>385</v>
      </c>
      <c r="B182" t="s">
        <v>386</v>
      </c>
      <c r="C182" t="s">
        <v>35</v>
      </c>
      <c r="D182" t="s">
        <v>523</v>
      </c>
      <c r="E182" t="s">
        <v>524</v>
      </c>
      <c r="F182" t="s">
        <v>470</v>
      </c>
      <c r="G182" t="s">
        <v>470</v>
      </c>
    </row>
    <row r="183" spans="1:9" x14ac:dyDescent="0.25">
      <c r="A183" t="s">
        <v>387</v>
      </c>
      <c r="B183" t="s">
        <v>388</v>
      </c>
      <c r="C183" t="s">
        <v>35</v>
      </c>
      <c r="D183" t="s">
        <v>523</v>
      </c>
      <c r="E183" t="s">
        <v>524</v>
      </c>
      <c r="F183">
        <v>7.2068854936664803E-2</v>
      </c>
      <c r="G183">
        <v>674762008.51851845</v>
      </c>
      <c r="H183">
        <v>486293.25308693683</v>
      </c>
      <c r="I183">
        <v>7294398.7963040527</v>
      </c>
    </row>
    <row r="184" spans="1:9" x14ac:dyDescent="0.25">
      <c r="A184" t="s">
        <v>389</v>
      </c>
      <c r="B184" t="s">
        <v>390</v>
      </c>
      <c r="C184" t="s">
        <v>32</v>
      </c>
      <c r="D184" t="s">
        <v>523</v>
      </c>
      <c r="E184" t="s">
        <v>524</v>
      </c>
      <c r="F184">
        <v>18.499865049667871</v>
      </c>
      <c r="G184">
        <v>64849930757.699547</v>
      </c>
      <c r="H184">
        <v>11997149674.977474</v>
      </c>
      <c r="I184">
        <v>179957245124.66211</v>
      </c>
    </row>
    <row r="185" spans="1:9" x14ac:dyDescent="0.25">
      <c r="A185" t="s">
        <v>391</v>
      </c>
      <c r="B185" t="s">
        <v>392</v>
      </c>
      <c r="C185" t="s">
        <v>35</v>
      </c>
      <c r="D185" t="s">
        <v>523</v>
      </c>
      <c r="E185" t="s">
        <v>524</v>
      </c>
      <c r="F185">
        <v>13.940049140658131</v>
      </c>
      <c r="G185">
        <v>4368007284.8156862</v>
      </c>
      <c r="H185">
        <v>608902361.97083366</v>
      </c>
      <c r="I185">
        <v>9133535429.5625057</v>
      </c>
    </row>
    <row r="186" spans="1:9" x14ac:dyDescent="0.25">
      <c r="A186" t="s">
        <v>393</v>
      </c>
      <c r="B186" t="s">
        <v>394</v>
      </c>
      <c r="C186" t="s">
        <v>32</v>
      </c>
      <c r="D186" t="s">
        <v>523</v>
      </c>
      <c r="E186" t="s">
        <v>524</v>
      </c>
      <c r="F186">
        <v>2.5181215842414439</v>
      </c>
      <c r="G186">
        <v>3691050502.6874857</v>
      </c>
      <c r="H186">
        <v>92945139.393425897</v>
      </c>
      <c r="I186">
        <v>1394177090.9013884</v>
      </c>
    </row>
    <row r="187" spans="1:9" x14ac:dyDescent="0.25">
      <c r="A187" t="s">
        <v>395</v>
      </c>
      <c r="B187" t="s">
        <v>396</v>
      </c>
      <c r="C187" t="s">
        <v>19</v>
      </c>
      <c r="D187" t="s">
        <v>523</v>
      </c>
      <c r="E187" t="s">
        <v>524</v>
      </c>
      <c r="F187">
        <v>1.425789725013217</v>
      </c>
      <c r="G187">
        <v>462903051317.61444</v>
      </c>
      <c r="H187">
        <v>6600024142.4592056</v>
      </c>
      <c r="I187">
        <v>99000362136.888092</v>
      </c>
    </row>
    <row r="188" spans="1:9" x14ac:dyDescent="0.25">
      <c r="A188" t="s">
        <v>397</v>
      </c>
      <c r="B188" t="s">
        <v>398</v>
      </c>
      <c r="C188" t="s">
        <v>19</v>
      </c>
      <c r="D188" t="s">
        <v>523</v>
      </c>
      <c r="E188" t="s">
        <v>524</v>
      </c>
      <c r="F188">
        <v>5.0591783766486799E-2</v>
      </c>
      <c r="G188">
        <v>550638974461.53845</v>
      </c>
      <c r="H188">
        <v>278578079.29358196</v>
      </c>
      <c r="I188">
        <v>4178671189.4037294</v>
      </c>
    </row>
    <row r="189" spans="1:9" x14ac:dyDescent="0.25">
      <c r="A189" t="s">
        <v>399</v>
      </c>
      <c r="B189" t="s">
        <v>400</v>
      </c>
      <c r="C189" t="s">
        <v>22</v>
      </c>
      <c r="D189" t="s">
        <v>523</v>
      </c>
      <c r="E189" t="s">
        <v>524</v>
      </c>
      <c r="F189" t="s">
        <v>470</v>
      </c>
      <c r="G189" t="s">
        <v>470</v>
      </c>
    </row>
    <row r="190" spans="1:9" x14ac:dyDescent="0.25">
      <c r="A190" t="s">
        <v>401</v>
      </c>
      <c r="B190" t="s">
        <v>402</v>
      </c>
      <c r="C190" t="s">
        <v>19</v>
      </c>
      <c r="D190" t="s">
        <v>523</v>
      </c>
      <c r="E190" t="s">
        <v>524</v>
      </c>
      <c r="F190">
        <v>1.5938875121506972</v>
      </c>
      <c r="G190">
        <v>5642221528.6711435</v>
      </c>
      <c r="H190">
        <v>89930664.353367537</v>
      </c>
      <c r="I190">
        <v>1348959965.300513</v>
      </c>
    </row>
    <row r="191" spans="1:9" x14ac:dyDescent="0.25">
      <c r="A191" t="s">
        <v>403</v>
      </c>
      <c r="B191" t="s">
        <v>404</v>
      </c>
      <c r="C191" t="s">
        <v>32</v>
      </c>
      <c r="D191" t="s">
        <v>523</v>
      </c>
      <c r="E191" t="s">
        <v>524</v>
      </c>
      <c r="F191">
        <v>11.211640920310339</v>
      </c>
      <c r="G191">
        <v>22915004297.218269</v>
      </c>
      <c r="H191">
        <v>2569147998.6777964</v>
      </c>
      <c r="I191">
        <v>38537219980.166946</v>
      </c>
    </row>
    <row r="192" spans="1:9" x14ac:dyDescent="0.25">
      <c r="A192" t="s">
        <v>405</v>
      </c>
      <c r="B192" t="s">
        <v>406</v>
      </c>
      <c r="C192" t="s">
        <v>26</v>
      </c>
      <c r="D192" t="s">
        <v>523</v>
      </c>
      <c r="E192" t="s">
        <v>524</v>
      </c>
      <c r="F192">
        <v>4.2869183430781312</v>
      </c>
      <c r="G192">
        <v>318907930075.7124</v>
      </c>
      <c r="H192">
        <v>13671322551.946495</v>
      </c>
      <c r="I192">
        <v>205069838279.19742</v>
      </c>
    </row>
    <row r="193" spans="1:9" x14ac:dyDescent="0.25">
      <c r="A193" t="s">
        <v>407</v>
      </c>
      <c r="B193" t="s">
        <v>408</v>
      </c>
      <c r="C193" t="s">
        <v>26</v>
      </c>
      <c r="D193" t="s">
        <v>523</v>
      </c>
      <c r="E193" t="s">
        <v>524</v>
      </c>
      <c r="F193">
        <v>0.64539575000185401</v>
      </c>
      <c r="G193">
        <v>934300000</v>
      </c>
      <c r="H193">
        <v>6029932.4922673218</v>
      </c>
      <c r="I193">
        <v>90448987.384009823</v>
      </c>
    </row>
    <row r="194" spans="1:9" x14ac:dyDescent="0.25">
      <c r="A194" t="s">
        <v>409</v>
      </c>
      <c r="B194" t="s">
        <v>410</v>
      </c>
      <c r="C194" t="s">
        <v>32</v>
      </c>
      <c r="D194" t="s">
        <v>523</v>
      </c>
      <c r="E194" t="s">
        <v>524</v>
      </c>
      <c r="F194">
        <v>9.1370700764592403</v>
      </c>
      <c r="G194">
        <v>3172945282.3230391</v>
      </c>
      <c r="H194">
        <v>289914233.93356359</v>
      </c>
      <c r="I194">
        <v>4348713509.0034542</v>
      </c>
    </row>
    <row r="195" spans="1:9" x14ac:dyDescent="0.25">
      <c r="A195" t="s">
        <v>411</v>
      </c>
      <c r="B195" t="s">
        <v>412</v>
      </c>
      <c r="C195" t="s">
        <v>26</v>
      </c>
      <c r="D195" t="s">
        <v>523</v>
      </c>
      <c r="E195" t="s">
        <v>524</v>
      </c>
      <c r="F195">
        <v>6.9958102299104E-2</v>
      </c>
      <c r="G195">
        <v>369212477.46289009</v>
      </c>
      <c r="H195">
        <v>258294.04268454493</v>
      </c>
      <c r="I195">
        <v>3874410.640268174</v>
      </c>
    </row>
    <row r="196" spans="1:9" x14ac:dyDescent="0.25">
      <c r="A196" t="s">
        <v>413</v>
      </c>
      <c r="B196" t="s">
        <v>414</v>
      </c>
      <c r="C196" t="s">
        <v>35</v>
      </c>
      <c r="D196" t="s">
        <v>523</v>
      </c>
      <c r="E196" t="s">
        <v>524</v>
      </c>
      <c r="F196">
        <v>39.297131426547885</v>
      </c>
      <c r="G196">
        <v>20667611846.25079</v>
      </c>
      <c r="H196">
        <v>8121778589.9499531</v>
      </c>
      <c r="I196">
        <v>121826678849.2493</v>
      </c>
    </row>
    <row r="197" spans="1:9" x14ac:dyDescent="0.25">
      <c r="A197" t="s">
        <v>415</v>
      </c>
      <c r="B197" t="s">
        <v>416</v>
      </c>
      <c r="C197" t="s">
        <v>22</v>
      </c>
      <c r="D197" t="s">
        <v>523</v>
      </c>
      <c r="E197" t="s">
        <v>524</v>
      </c>
      <c r="F197">
        <v>6.5869346955841017</v>
      </c>
      <c r="G197">
        <v>44377742070.700012</v>
      </c>
      <c r="H197">
        <v>2923132889.5717616</v>
      </c>
      <c r="I197">
        <v>43846993343.576424</v>
      </c>
    </row>
    <row r="198" spans="1:9" x14ac:dyDescent="0.25">
      <c r="A198" t="s">
        <v>417</v>
      </c>
      <c r="B198" t="s">
        <v>418</v>
      </c>
      <c r="C198" t="s">
        <v>19</v>
      </c>
      <c r="D198" t="s">
        <v>523</v>
      </c>
      <c r="E198" t="s">
        <v>524</v>
      </c>
      <c r="F198">
        <v>0.59764967737267438</v>
      </c>
      <c r="G198">
        <v>731144392556.33887</v>
      </c>
      <c r="H198">
        <v>4369682103.2413588</v>
      </c>
      <c r="I198">
        <v>65545231548.620384</v>
      </c>
    </row>
    <row r="199" spans="1:9" x14ac:dyDescent="0.25">
      <c r="A199" t="s">
        <v>419</v>
      </c>
      <c r="B199" t="s">
        <v>420</v>
      </c>
      <c r="C199" t="s">
        <v>19</v>
      </c>
      <c r="D199" t="s">
        <v>523</v>
      </c>
      <c r="E199" t="s">
        <v>524</v>
      </c>
      <c r="F199">
        <v>39.866775082025391</v>
      </c>
      <c r="G199">
        <v>22148070175.438595</v>
      </c>
      <c r="H199">
        <v>8829721321.8512516</v>
      </c>
      <c r="I199">
        <v>132445819827.76877</v>
      </c>
    </row>
    <row r="200" spans="1:9" x14ac:dyDescent="0.25">
      <c r="A200" t="s">
        <v>421</v>
      </c>
      <c r="B200" t="s">
        <v>422</v>
      </c>
      <c r="C200" t="s">
        <v>35</v>
      </c>
      <c r="D200" t="s">
        <v>523</v>
      </c>
      <c r="E200" t="s">
        <v>524</v>
      </c>
      <c r="F200" t="s">
        <v>470</v>
      </c>
      <c r="G200" t="s">
        <v>470</v>
      </c>
    </row>
    <row r="201" spans="1:9" x14ac:dyDescent="0.25">
      <c r="A201" t="s">
        <v>423</v>
      </c>
      <c r="B201" t="s">
        <v>424</v>
      </c>
      <c r="C201" t="s">
        <v>26</v>
      </c>
      <c r="D201" t="s">
        <v>523</v>
      </c>
      <c r="E201" t="s">
        <v>524</v>
      </c>
      <c r="F201">
        <v>0</v>
      </c>
      <c r="G201">
        <v>31824701.278333101</v>
      </c>
      <c r="H201">
        <v>0</v>
      </c>
      <c r="I201">
        <v>0</v>
      </c>
    </row>
    <row r="202" spans="1:9" x14ac:dyDescent="0.25">
      <c r="A202" t="s">
        <v>425</v>
      </c>
      <c r="B202" t="s">
        <v>426</v>
      </c>
      <c r="C202" t="s">
        <v>32</v>
      </c>
      <c r="D202" t="s">
        <v>523</v>
      </c>
      <c r="E202" t="s">
        <v>524</v>
      </c>
      <c r="F202">
        <v>14.635799386092676</v>
      </c>
      <c r="G202">
        <v>16030996179.10774</v>
      </c>
      <c r="H202">
        <v>2346264440.3663912</v>
      </c>
      <c r="I202">
        <v>35193966605.495865</v>
      </c>
    </row>
    <row r="203" spans="1:9" x14ac:dyDescent="0.25">
      <c r="A203" t="s">
        <v>427</v>
      </c>
      <c r="B203" t="s">
        <v>428</v>
      </c>
      <c r="C203" t="s">
        <v>19</v>
      </c>
      <c r="D203" t="s">
        <v>523</v>
      </c>
      <c r="E203" t="s">
        <v>524</v>
      </c>
      <c r="F203">
        <v>5.4907749188267694</v>
      </c>
      <c r="G203">
        <v>136418622767.35455</v>
      </c>
      <c r="H203">
        <v>7490439523.5188084</v>
      </c>
      <c r="I203">
        <v>112356592852.78212</v>
      </c>
    </row>
    <row r="204" spans="1:9" x14ac:dyDescent="0.25">
      <c r="A204" t="s">
        <v>429</v>
      </c>
      <c r="B204" t="s">
        <v>430</v>
      </c>
      <c r="C204" t="s">
        <v>22</v>
      </c>
      <c r="D204" t="s">
        <v>523</v>
      </c>
      <c r="E204" t="s">
        <v>524</v>
      </c>
      <c r="F204">
        <v>21.686101330653994</v>
      </c>
      <c r="G204">
        <v>287421818965.7583</v>
      </c>
      <c r="H204">
        <v>62330586907.323227</v>
      </c>
      <c r="I204">
        <v>934958803609.84839</v>
      </c>
    </row>
    <row r="205" spans="1:9" x14ac:dyDescent="0.25">
      <c r="A205" t="s">
        <v>431</v>
      </c>
      <c r="B205" t="s">
        <v>432</v>
      </c>
      <c r="C205" t="s">
        <v>19</v>
      </c>
      <c r="D205" t="s">
        <v>523</v>
      </c>
      <c r="E205" t="s">
        <v>524</v>
      </c>
      <c r="F205">
        <v>1.5462171110377079</v>
      </c>
      <c r="G205">
        <v>2285561538461.5386</v>
      </c>
      <c r="H205">
        <v>35339743590.988991</v>
      </c>
      <c r="I205">
        <v>530096153864.83484</v>
      </c>
    </row>
    <row r="206" spans="1:9" x14ac:dyDescent="0.25">
      <c r="A206" t="s">
        <v>433</v>
      </c>
      <c r="B206" t="s">
        <v>434</v>
      </c>
      <c r="C206" t="s">
        <v>69</v>
      </c>
      <c r="D206" t="s">
        <v>523</v>
      </c>
      <c r="E206" t="s">
        <v>524</v>
      </c>
      <c r="F206">
        <v>1.2283670209333999</v>
      </c>
      <c r="G206">
        <v>14958300000000</v>
      </c>
      <c r="H206">
        <v>183742824092.28073</v>
      </c>
      <c r="I206">
        <v>2756142361384.2109</v>
      </c>
    </row>
    <row r="207" spans="1:9" x14ac:dyDescent="0.25">
      <c r="A207" t="s">
        <v>435</v>
      </c>
      <c r="B207" t="s">
        <v>436</v>
      </c>
      <c r="C207" t="s">
        <v>35</v>
      </c>
      <c r="D207" t="s">
        <v>523</v>
      </c>
      <c r="E207" t="s">
        <v>524</v>
      </c>
      <c r="F207">
        <v>3.4618515291158558</v>
      </c>
      <c r="G207">
        <v>38846222984.569771</v>
      </c>
      <c r="H207">
        <v>1344798564.3950837</v>
      </c>
      <c r="I207">
        <v>20171978465.926254</v>
      </c>
    </row>
    <row r="208" spans="1:9" x14ac:dyDescent="0.25">
      <c r="A208" t="s">
        <v>437</v>
      </c>
      <c r="B208" t="s">
        <v>438</v>
      </c>
      <c r="C208" t="s">
        <v>19</v>
      </c>
      <c r="D208" t="s">
        <v>523</v>
      </c>
      <c r="E208" t="s">
        <v>524</v>
      </c>
      <c r="F208">
        <v>27.158272528194242</v>
      </c>
      <c r="G208">
        <v>39332771014.01297</v>
      </c>
      <c r="H208">
        <v>10682101144.876232</v>
      </c>
      <c r="I208">
        <v>160231517173.14349</v>
      </c>
    </row>
    <row r="209" spans="1:9" x14ac:dyDescent="0.25">
      <c r="A209" t="s">
        <v>439</v>
      </c>
      <c r="B209" t="s">
        <v>440</v>
      </c>
      <c r="C209" t="s">
        <v>26</v>
      </c>
      <c r="D209" t="s">
        <v>523</v>
      </c>
      <c r="E209" t="s">
        <v>524</v>
      </c>
      <c r="F209">
        <v>1.12182998593251</v>
      </c>
      <c r="G209">
        <v>700804045.16411996</v>
      </c>
      <c r="H209">
        <v>7861829.9212791082</v>
      </c>
      <c r="I209">
        <v>117927448.81918663</v>
      </c>
    </row>
    <row r="210" spans="1:9" x14ac:dyDescent="0.25">
      <c r="A210" t="s">
        <v>441</v>
      </c>
      <c r="B210" t="s">
        <v>442</v>
      </c>
      <c r="C210" t="s">
        <v>35</v>
      </c>
      <c r="D210" t="s">
        <v>523</v>
      </c>
      <c r="E210" t="s">
        <v>524</v>
      </c>
      <c r="F210">
        <v>20.464159435263436</v>
      </c>
      <c r="G210">
        <v>393807511437.2793</v>
      </c>
      <c r="H210">
        <v>80589397008.56813</v>
      </c>
      <c r="I210">
        <v>1208840955128.522</v>
      </c>
    </row>
    <row r="211" spans="1:9" x14ac:dyDescent="0.25">
      <c r="A211" t="s">
        <v>443</v>
      </c>
      <c r="B211" t="s">
        <v>444</v>
      </c>
      <c r="C211" t="s">
        <v>26</v>
      </c>
      <c r="D211" t="s">
        <v>523</v>
      </c>
      <c r="E211" t="s">
        <v>524</v>
      </c>
      <c r="F211">
        <v>11.726222478531966</v>
      </c>
      <c r="G211">
        <v>115931749904.85977</v>
      </c>
      <c r="H211">
        <v>13594414917.099127</v>
      </c>
      <c r="I211">
        <v>203916223756.48691</v>
      </c>
    </row>
    <row r="212" spans="1:9" x14ac:dyDescent="0.25">
      <c r="A212" t="s">
        <v>445</v>
      </c>
      <c r="B212" t="s">
        <v>446</v>
      </c>
      <c r="C212" t="s">
        <v>35</v>
      </c>
      <c r="D212" t="s">
        <v>523</v>
      </c>
      <c r="E212" t="s">
        <v>524</v>
      </c>
      <c r="F212" t="s">
        <v>470</v>
      </c>
      <c r="G212" t="s">
        <v>470</v>
      </c>
    </row>
    <row r="213" spans="1:9" x14ac:dyDescent="0.25">
      <c r="A213" t="s">
        <v>447</v>
      </c>
      <c r="B213" t="s">
        <v>448</v>
      </c>
      <c r="C213" t="s">
        <v>22</v>
      </c>
      <c r="D213" t="s">
        <v>523</v>
      </c>
      <c r="E213" t="s">
        <v>524</v>
      </c>
      <c r="F213" t="s">
        <v>470</v>
      </c>
      <c r="G213" t="s">
        <v>470</v>
      </c>
    </row>
    <row r="214" spans="1:9" x14ac:dyDescent="0.25">
      <c r="A214" t="s">
        <v>449</v>
      </c>
      <c r="B214" t="s">
        <v>450</v>
      </c>
      <c r="C214" t="s">
        <v>22</v>
      </c>
      <c r="D214" t="s">
        <v>523</v>
      </c>
      <c r="E214" t="s">
        <v>524</v>
      </c>
      <c r="F214">
        <v>22.46100233880566</v>
      </c>
      <c r="G214">
        <v>31042729622.779816</v>
      </c>
      <c r="H214">
        <v>6972508226.6016922</v>
      </c>
      <c r="I214">
        <v>104587623399.02539</v>
      </c>
    </row>
    <row r="215" spans="1:9" x14ac:dyDescent="0.25">
      <c r="A215" t="s">
        <v>451</v>
      </c>
      <c r="B215" t="s">
        <v>452</v>
      </c>
      <c r="C215" t="s">
        <v>32</v>
      </c>
      <c r="D215" t="s">
        <v>523</v>
      </c>
      <c r="E215" t="s">
        <v>524</v>
      </c>
      <c r="F215">
        <v>27.750681365494525</v>
      </c>
      <c r="G215">
        <v>16190196832.087244</v>
      </c>
      <c r="H215">
        <v>4492889935.3189192</v>
      </c>
      <c r="I215">
        <v>67393349029.783791</v>
      </c>
    </row>
    <row r="216" spans="1:9" x14ac:dyDescent="0.25">
      <c r="A216" t="s">
        <v>453</v>
      </c>
      <c r="B216" t="s">
        <v>454</v>
      </c>
      <c r="C216" t="s">
        <v>32</v>
      </c>
      <c r="D216" t="s">
        <v>523</v>
      </c>
      <c r="E216" t="s">
        <v>524</v>
      </c>
      <c r="F216">
        <v>13.404309300500149</v>
      </c>
      <c r="G216">
        <v>7433314459.7393303</v>
      </c>
      <c r="H216">
        <v>996384461.46226156</v>
      </c>
      <c r="I216">
        <v>14945766921.933924</v>
      </c>
    </row>
    <row r="217" spans="1:9" x14ac:dyDescent="0.25">
      <c r="A217" t="s">
        <v>525</v>
      </c>
      <c r="F217">
        <v>1927.2889802171569</v>
      </c>
      <c r="G217">
        <v>63663350904054.687</v>
      </c>
      <c r="H217">
        <v>3023123568904.1025</v>
      </c>
      <c r="I217">
        <v>45346853533561.539</v>
      </c>
    </row>
    <row r="220" spans="1:9" x14ac:dyDescent="0.25">
      <c r="A220" t="s">
        <v>500</v>
      </c>
    </row>
    <row r="221" spans="1:9" x14ac:dyDescent="0.25">
      <c r="A221" t="s">
        <v>526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activeCell="E5" sqref="E5"/>
    </sheetView>
  </sheetViews>
  <sheetFormatPr baseColWidth="10" defaultRowHeight="15" x14ac:dyDescent="0.25"/>
  <cols>
    <col min="1" max="1" width="12.42578125" style="1" customWidth="1"/>
    <col min="2" max="2" width="12.7109375" customWidth="1"/>
    <col min="3" max="3" width="37.5703125" style="8" customWidth="1"/>
    <col min="4" max="4" width="12.140625" customWidth="1"/>
    <col min="5" max="5" width="14.85546875" customWidth="1"/>
    <col min="6" max="6" width="11.85546875" customWidth="1"/>
    <col min="7" max="7" width="12" bestFit="1" customWidth="1"/>
    <col min="9" max="9" width="12" bestFit="1" customWidth="1"/>
    <col min="11" max="11" width="12" bestFit="1" customWidth="1"/>
    <col min="15" max="15" width="12" bestFit="1" customWidth="1"/>
    <col min="23" max="23" width="12" bestFit="1" customWidth="1"/>
  </cols>
  <sheetData>
    <row r="1" spans="1:26" s="1" customFormat="1" x14ac:dyDescent="0.25">
      <c r="B1" s="1" t="s">
        <v>522</v>
      </c>
      <c r="C1" s="7" t="s">
        <v>528</v>
      </c>
      <c r="D1" s="1" t="s">
        <v>529</v>
      </c>
      <c r="E1" s="1" t="s">
        <v>530</v>
      </c>
      <c r="F1" s="1" t="s">
        <v>531</v>
      </c>
      <c r="G1" s="1" t="s">
        <v>532</v>
      </c>
      <c r="H1" s="1" t="s">
        <v>533</v>
      </c>
      <c r="I1" s="1" t="s">
        <v>534</v>
      </c>
      <c r="J1" s="1" t="s">
        <v>535</v>
      </c>
      <c r="K1" s="1" t="s">
        <v>536</v>
      </c>
      <c r="L1" s="1" t="s">
        <v>537</v>
      </c>
      <c r="M1" s="1" t="s">
        <v>538</v>
      </c>
      <c r="N1" s="1" t="s">
        <v>539</v>
      </c>
      <c r="O1" s="1" t="s">
        <v>540</v>
      </c>
      <c r="P1" s="1" t="s">
        <v>541</v>
      </c>
      <c r="Q1" s="1" t="s">
        <v>542</v>
      </c>
      <c r="R1" s="1" t="s">
        <v>543</v>
      </c>
      <c r="S1" s="1" t="s">
        <v>544</v>
      </c>
      <c r="T1" s="1" t="s">
        <v>545</v>
      </c>
      <c r="U1" s="1" t="s">
        <v>546</v>
      </c>
      <c r="V1" s="1" t="s">
        <v>547</v>
      </c>
      <c r="W1" s="1" t="s">
        <v>548</v>
      </c>
      <c r="X1" s="1" t="s">
        <v>549</v>
      </c>
      <c r="Y1" s="1" t="s">
        <v>550</v>
      </c>
      <c r="Z1" s="1" t="s">
        <v>551</v>
      </c>
    </row>
    <row r="2" spans="1:26" x14ac:dyDescent="0.25">
      <c r="A2" s="1" t="s">
        <v>26</v>
      </c>
      <c r="B2">
        <f>VLOOKUP(A2,Rents!K:L,2,0)</f>
        <v>9983567627902.957</v>
      </c>
      <c r="C2" s="8">
        <f>VLOOKUP(A2,'Costs Summary'!A:L,12,0)</f>
        <v>3124149028743.9463</v>
      </c>
      <c r="D2">
        <f>C2/B2</f>
        <v>0.3129291196477999</v>
      </c>
      <c r="E2">
        <f>(C2/2)/(B2*1.5)</f>
        <v>0.10430970654926663</v>
      </c>
      <c r="F2">
        <f>(C2*1.5)/(B2/2)</f>
        <v>0.93878735894339982</v>
      </c>
      <c r="G2">
        <f>VLOOKUP(A2,'Electricity Pivot'!A:C,3,0)</f>
        <v>22590032395.667591</v>
      </c>
      <c r="H2">
        <f>G2/B2</f>
        <v>2.2627214276118059E-3</v>
      </c>
      <c r="I2">
        <f>(G2/2)/(B2*1.5)</f>
        <v>7.5424047587060203E-4</v>
      </c>
      <c r="J2">
        <f>(G2*1.5)/(B2/2)</f>
        <v>6.7881642828354185E-3</v>
      </c>
      <c r="K2">
        <f>VLOOKUP(A2,'Water Pivot'!A:C,3,0)</f>
        <v>95748113882.167282</v>
      </c>
      <c r="L2">
        <f>K2/B2</f>
        <v>9.5905709712990773E-3</v>
      </c>
      <c r="M2">
        <f>(K2/2)/(B2*1.5)</f>
        <v>3.1968569904330256E-3</v>
      </c>
      <c r="N2">
        <f>(K2*1.5)/(B2/2)</f>
        <v>2.877171291389723E-2</v>
      </c>
      <c r="O2">
        <f>VLOOKUP(A2,'Sanitation Pivot'!A:C,3,0)</f>
        <v>88869922285.245529</v>
      </c>
      <c r="P2">
        <f>O2/B2</f>
        <v>8.901619701244274E-3</v>
      </c>
      <c r="Q2">
        <f>(O2/2)/(B2*1.5)</f>
        <v>2.9672065670814248E-3</v>
      </c>
      <c r="R2">
        <f>(O2*1.5)/(B2/2)</f>
        <v>2.6704859103732822E-2</v>
      </c>
      <c r="S2">
        <f>VLOOKUP(A2,'ICT Pivot'!A:C,3,0)</f>
        <v>564209979930.86353</v>
      </c>
      <c r="T2">
        <f>S2/B2</f>
        <v>5.6513863676744137E-2</v>
      </c>
      <c r="U2">
        <f>(S2/2)/(B2*1.5)</f>
        <v>1.883795455891471E-2</v>
      </c>
      <c r="V2">
        <f>(S2*1.5)/(B2/2)</f>
        <v>0.16954159103023239</v>
      </c>
      <c r="W2">
        <f>VLOOKUP(A2,'Roads Pivot'!A:C,3,0)</f>
        <v>2352730980250.0024</v>
      </c>
      <c r="X2">
        <f>W2/B2</f>
        <v>0.23566034387090062</v>
      </c>
      <c r="Y2">
        <f>(W2/2)/(B2*1.5)</f>
        <v>7.8553447956966879E-2</v>
      </c>
      <c r="Z2">
        <f>(W2*1.5)/(B2/2)</f>
        <v>0.70698103161270187</v>
      </c>
    </row>
    <row r="3" spans="1:26" x14ac:dyDescent="0.25">
      <c r="A3" s="1" t="s">
        <v>19</v>
      </c>
      <c r="B3">
        <f>VLOOKUP(A3,Rents!K:L,2,0)</f>
        <v>8920772534953.5137</v>
      </c>
      <c r="C3" s="8">
        <f>VLOOKUP(A3,'Costs Summary'!A:L,12,0)</f>
        <v>456986486987.36658</v>
      </c>
      <c r="D3">
        <f t="shared" ref="D3:D8" si="0">C3/B3</f>
        <v>5.1227232304914716E-2</v>
      </c>
      <c r="E3">
        <f t="shared" ref="E3:E8" si="1">(C3/2)/(B3*1.5)</f>
        <v>1.707574410163824E-2</v>
      </c>
      <c r="F3">
        <f t="shared" ref="F3:F8" si="2">(C3*1.5)/(B3/2)</f>
        <v>0.15368169691474412</v>
      </c>
      <c r="G3">
        <f>VLOOKUP(A3,'Electricity Pivot'!A:C,3,0)</f>
        <v>0</v>
      </c>
      <c r="H3">
        <f t="shared" ref="H3:H8" si="3">G3/B3</f>
        <v>0</v>
      </c>
      <c r="I3">
        <f t="shared" ref="I3:I8" si="4">(G3/2)/(B3*1.5)</f>
        <v>0</v>
      </c>
      <c r="J3">
        <f t="shared" ref="J3:J8" si="5">(G3*1.5)/(B3/2)</f>
        <v>0</v>
      </c>
      <c r="K3">
        <f>VLOOKUP(A3,'Water Pivot'!A:C,3,0)</f>
        <v>5655197918.447938</v>
      </c>
      <c r="L3">
        <f t="shared" ref="L3:L8" si="6">K3/B3</f>
        <v>6.33935894709752E-4</v>
      </c>
      <c r="M3">
        <f t="shared" ref="M3:M8" si="7">(K3/2)/(B3*1.5)</f>
        <v>2.1131196490325067E-4</v>
      </c>
      <c r="N3">
        <f t="shared" ref="N3:N8" si="8">(K3*1.5)/(B3/2)</f>
        <v>1.901807684129256E-3</v>
      </c>
      <c r="O3">
        <f>VLOOKUP(A3,'Sanitation Pivot'!A:C,3,0)</f>
        <v>12344275187.457644</v>
      </c>
      <c r="P3">
        <f t="shared" ref="P3:P8" si="9">O3/B3</f>
        <v>1.3837675088216976E-3</v>
      </c>
      <c r="Q3">
        <f t="shared" ref="Q3:Q8" si="10">(O3/2)/(B3*1.5)</f>
        <v>4.6125583627389924E-4</v>
      </c>
      <c r="R3">
        <f t="shared" ref="R3:R8" si="11">(O3*1.5)/(B3/2)</f>
        <v>4.1513025264650928E-3</v>
      </c>
      <c r="S3">
        <f>VLOOKUP(A3,'ICT Pivot'!A:C,3,0)</f>
        <v>105887274299.25121</v>
      </c>
      <c r="T3">
        <f t="shared" ref="T3:T8" si="12">S3/B3</f>
        <v>1.1869742657865336E-2</v>
      </c>
      <c r="U3">
        <f t="shared" ref="U3:U8" si="13">(S3/2)/(B3*1.5)</f>
        <v>3.9565808859551117E-3</v>
      </c>
      <c r="V3">
        <f t="shared" ref="V3:V8" si="14">(S3*1.5)/(B3/2)</f>
        <v>3.5609227973596003E-2</v>
      </c>
      <c r="W3">
        <f>VLOOKUP(A3,'Roads Pivot'!A:C,3,0)</f>
        <v>333099739582.20978</v>
      </c>
      <c r="X3">
        <f t="shared" ref="X3:X8" si="15">W3/B3</f>
        <v>3.7339786243517928E-2</v>
      </c>
      <c r="Y3">
        <f t="shared" ref="Y3:Y8" si="16">(W3/2)/(B3*1.5)</f>
        <v>1.2446595414505978E-2</v>
      </c>
      <c r="Z3">
        <f t="shared" ref="Z3:Z8" si="17">(W3*1.5)/(B3/2)</f>
        <v>0.1120193587305538</v>
      </c>
    </row>
    <row r="4" spans="1:26" x14ac:dyDescent="0.25">
      <c r="A4" s="1" t="s">
        <v>35</v>
      </c>
      <c r="B4">
        <f>VLOOKUP(A4,Rents!K:L,2,0)</f>
        <v>6610463804643.4453</v>
      </c>
      <c r="C4" s="8">
        <f>VLOOKUP(A4,'Costs Summary'!A:L,12,0)</f>
        <v>2431972285913.7529</v>
      </c>
      <c r="D4">
        <f t="shared" si="0"/>
        <v>0.36789737570387143</v>
      </c>
      <c r="E4">
        <f t="shared" si="1"/>
        <v>0.12263245856795714</v>
      </c>
      <c r="F4">
        <f t="shared" si="2"/>
        <v>1.1036921271116142</v>
      </c>
      <c r="G4">
        <f>VLOOKUP(A4,'Electricity Pivot'!A:C,3,0)</f>
        <v>13951852538.270027</v>
      </c>
      <c r="H4">
        <f t="shared" si="3"/>
        <v>2.1105708994987168E-3</v>
      </c>
      <c r="I4">
        <f t="shared" si="4"/>
        <v>7.0352363316623901E-4</v>
      </c>
      <c r="J4">
        <f t="shared" si="5"/>
        <v>6.3317126984961513E-3</v>
      </c>
      <c r="K4">
        <f>VLOOKUP(A4,'Water Pivot'!A:C,3,0)</f>
        <v>29869058446.634636</v>
      </c>
      <c r="L4">
        <f t="shared" si="6"/>
        <v>4.5184512508265233E-3</v>
      </c>
      <c r="M4">
        <f t="shared" si="7"/>
        <v>1.5061504169421745E-3</v>
      </c>
      <c r="N4">
        <f t="shared" si="8"/>
        <v>1.3555353752479569E-2</v>
      </c>
      <c r="O4">
        <f>VLOOKUP(A4,'Sanitation Pivot'!A:C,3,0)</f>
        <v>41259154244.385712</v>
      </c>
      <c r="P4">
        <f t="shared" si="9"/>
        <v>6.2414915902578106E-3</v>
      </c>
      <c r="Q4">
        <f t="shared" si="10"/>
        <v>2.0804971967526035E-3</v>
      </c>
      <c r="R4">
        <f t="shared" si="11"/>
        <v>1.8724474770773429E-2</v>
      </c>
      <c r="S4">
        <f>VLOOKUP(A4,'ICT Pivot'!A:C,3,0)</f>
        <v>130926073490.64978</v>
      </c>
      <c r="T4">
        <f t="shared" si="12"/>
        <v>1.9805883121042468E-2</v>
      </c>
      <c r="U4">
        <f t="shared" si="13"/>
        <v>6.6019610403474892E-3</v>
      </c>
      <c r="V4">
        <f t="shared" si="14"/>
        <v>5.9417649363127399E-2</v>
      </c>
      <c r="W4">
        <f>VLOOKUP(A4,'Roads Pivot'!A:C,3,0)</f>
        <v>2215966147193.813</v>
      </c>
      <c r="X4">
        <f t="shared" si="15"/>
        <v>0.33522097884224594</v>
      </c>
      <c r="Y4">
        <f t="shared" si="16"/>
        <v>0.11174032628074865</v>
      </c>
      <c r="Z4">
        <f t="shared" si="17"/>
        <v>1.005662936526738</v>
      </c>
    </row>
    <row r="5" spans="1:26" x14ac:dyDescent="0.25">
      <c r="A5" s="1" t="s">
        <v>22</v>
      </c>
      <c r="B5">
        <f>VLOOKUP(A5,Rents!K:L,2,0)</f>
        <v>10363895225364.766</v>
      </c>
      <c r="C5" s="8">
        <f>VLOOKUP(A5,'Costs Summary'!A:L,12,0)</f>
        <v>254531714000.03278</v>
      </c>
      <c r="D5">
        <f t="shared" si="0"/>
        <v>2.4559464223170426E-2</v>
      </c>
      <c r="E5">
        <f t="shared" si="1"/>
        <v>8.1864880743901421E-3</v>
      </c>
      <c r="F5">
        <f t="shared" si="2"/>
        <v>7.3678392669511289E-2</v>
      </c>
      <c r="G5">
        <f>VLOOKUP(A5,'Electricity Pivot'!A:C,3,0)</f>
        <v>5170087152.7712011</v>
      </c>
      <c r="H5">
        <f t="shared" si="3"/>
        <v>4.9885559824242975E-4</v>
      </c>
      <c r="I5">
        <f t="shared" si="4"/>
        <v>1.6628519941414325E-4</v>
      </c>
      <c r="J5">
        <f t="shared" si="5"/>
        <v>1.4965667947272891E-3</v>
      </c>
      <c r="K5">
        <f>VLOOKUP(A5,'Water Pivot'!A:C,3,0)</f>
        <v>19392327872.681896</v>
      </c>
      <c r="L5">
        <f t="shared" si="6"/>
        <v>1.8711427943830228E-3</v>
      </c>
      <c r="M5">
        <f t="shared" si="7"/>
        <v>6.2371426479434101E-4</v>
      </c>
      <c r="N5">
        <f t="shared" si="8"/>
        <v>5.6134283831490682E-3</v>
      </c>
      <c r="O5">
        <f>VLOOKUP(A5,'Sanitation Pivot'!A:C,3,0)</f>
        <v>13970917213.302017</v>
      </c>
      <c r="P5">
        <f t="shared" si="9"/>
        <v>1.3480372880564605E-3</v>
      </c>
      <c r="Q5">
        <f t="shared" si="10"/>
        <v>4.4934576268548679E-4</v>
      </c>
      <c r="R5">
        <f t="shared" si="11"/>
        <v>4.0441118641693814E-3</v>
      </c>
      <c r="S5">
        <f>VLOOKUP(A5,'ICT Pivot'!A:C,3,0)</f>
        <v>54486729933.777702</v>
      </c>
      <c r="T5">
        <f t="shared" si="12"/>
        <v>5.2573601670948961E-3</v>
      </c>
      <c r="U5">
        <f t="shared" si="13"/>
        <v>1.7524533890316322E-3</v>
      </c>
      <c r="V5">
        <f t="shared" si="14"/>
        <v>1.5772080501284688E-2</v>
      </c>
      <c r="W5">
        <f>VLOOKUP(A5,'Roads Pivot'!A:C,3,0)</f>
        <v>161511651827.49997</v>
      </c>
      <c r="X5">
        <f t="shared" si="15"/>
        <v>1.5584068375393618E-2</v>
      </c>
      <c r="Y5">
        <f t="shared" si="16"/>
        <v>5.1946894584645395E-3</v>
      </c>
      <c r="Z5">
        <f t="shared" si="17"/>
        <v>4.6752205126180855E-2</v>
      </c>
    </row>
    <row r="6" spans="1:26" x14ac:dyDescent="0.25">
      <c r="A6" s="1" t="s">
        <v>69</v>
      </c>
      <c r="B6">
        <f>VLOOKUP(A6,Rents!K:L,2,0)</f>
        <v>3754401396774.9941</v>
      </c>
      <c r="C6" s="8">
        <f>VLOOKUP(A6,'Costs Summary'!A:L,12,0)</f>
        <v>3419141470.6781435</v>
      </c>
      <c r="D6">
        <f t="shared" si="0"/>
        <v>9.1070216243131687E-4</v>
      </c>
      <c r="E6">
        <f t="shared" si="1"/>
        <v>3.0356738747710561E-4</v>
      </c>
      <c r="F6">
        <f t="shared" si="2"/>
        <v>2.7321064872939506E-3</v>
      </c>
      <c r="G6">
        <f>VLOOKUP(A6,'Electricity Pivot'!A:C,3,0)</f>
        <v>0</v>
      </c>
      <c r="H6">
        <f t="shared" si="3"/>
        <v>0</v>
      </c>
      <c r="I6">
        <f t="shared" si="4"/>
        <v>0</v>
      </c>
      <c r="J6">
        <f t="shared" si="5"/>
        <v>0</v>
      </c>
      <c r="K6">
        <f>VLOOKUP(A6,'Water Pivot'!A:C,3,0)</f>
        <v>0</v>
      </c>
      <c r="L6">
        <f t="shared" si="6"/>
        <v>0</v>
      </c>
      <c r="M6">
        <f t="shared" si="7"/>
        <v>0</v>
      </c>
      <c r="N6">
        <f t="shared" si="8"/>
        <v>0</v>
      </c>
      <c r="O6">
        <f>VLOOKUP(A6,'Sanitation Pivot'!A:C,3,0)</f>
        <v>0</v>
      </c>
      <c r="P6">
        <f t="shared" si="9"/>
        <v>0</v>
      </c>
      <c r="Q6">
        <f t="shared" si="10"/>
        <v>0</v>
      </c>
      <c r="R6">
        <f t="shared" si="11"/>
        <v>0</v>
      </c>
      <c r="S6">
        <f>VLOOKUP(A6,'ICT Pivot'!A:C,3,0)</f>
        <v>3419141470.6781435</v>
      </c>
      <c r="T6">
        <f t="shared" si="12"/>
        <v>9.1070216243131687E-4</v>
      </c>
      <c r="U6">
        <f t="shared" si="13"/>
        <v>3.0356738747710561E-4</v>
      </c>
      <c r="V6">
        <f t="shared" si="14"/>
        <v>2.7321064872939506E-3</v>
      </c>
      <c r="W6">
        <f>VLOOKUP(A6,'Roads Pivot'!A:C,3,0)</f>
        <v>0</v>
      </c>
      <c r="X6">
        <f t="shared" si="15"/>
        <v>0</v>
      </c>
      <c r="Y6">
        <f t="shared" si="16"/>
        <v>0</v>
      </c>
      <c r="Z6">
        <f t="shared" si="17"/>
        <v>0</v>
      </c>
    </row>
    <row r="7" spans="1:26" x14ac:dyDescent="0.25">
      <c r="A7" s="1" t="s">
        <v>15</v>
      </c>
      <c r="B7">
        <f>VLOOKUP(A7,Rents!K:L,2,0)</f>
        <v>1829623959552.8228</v>
      </c>
      <c r="C7" s="8">
        <f>VLOOKUP(A7,'Costs Summary'!A:L,12,0)</f>
        <v>3697759051697.0615</v>
      </c>
      <c r="D7">
        <f t="shared" si="0"/>
        <v>2.0210486599666244</v>
      </c>
      <c r="E7">
        <f t="shared" si="1"/>
        <v>0.67368288665554132</v>
      </c>
      <c r="F7">
        <f t="shared" si="2"/>
        <v>6.0631459798998719</v>
      </c>
      <c r="G7">
        <f>VLOOKUP(A7,'Electricity Pivot'!A:C,3,0)</f>
        <v>35860813880.245369</v>
      </c>
      <c r="H7">
        <f t="shared" si="3"/>
        <v>1.9600100716329758E-2</v>
      </c>
      <c r="I7">
        <f t="shared" si="4"/>
        <v>6.5333669054432521E-3</v>
      </c>
      <c r="J7">
        <f t="shared" si="5"/>
        <v>5.8800302148989278E-2</v>
      </c>
      <c r="K7">
        <f>VLOOKUP(A7,'Water Pivot'!A:C,3,0)</f>
        <v>5044455402.7951717</v>
      </c>
      <c r="L7">
        <f t="shared" si="6"/>
        <v>2.7570995539586635E-3</v>
      </c>
      <c r="M7">
        <f t="shared" si="7"/>
        <v>9.190331846528878E-4</v>
      </c>
      <c r="N7">
        <f t="shared" si="8"/>
        <v>8.2712986618759914E-3</v>
      </c>
      <c r="O7">
        <f>VLOOKUP(A7,'Sanitation Pivot'!A:C,3,0)</f>
        <v>105213300933.22096</v>
      </c>
      <c r="P7">
        <f t="shared" si="9"/>
        <v>5.7505423660354819E-2</v>
      </c>
      <c r="Q7">
        <f t="shared" si="10"/>
        <v>1.9168474553451605E-2</v>
      </c>
      <c r="R7">
        <f t="shared" si="11"/>
        <v>0.17251627098106448</v>
      </c>
      <c r="S7">
        <f>VLOOKUP(A7,'ICT Pivot'!A:C,3,0)</f>
        <v>1062650314367.6752</v>
      </c>
      <c r="T7">
        <f t="shared" si="12"/>
        <v>0.58080257903235855</v>
      </c>
      <c r="U7">
        <f t="shared" si="13"/>
        <v>0.19360085967745283</v>
      </c>
      <c r="V7">
        <f t="shared" si="14"/>
        <v>1.7424077370970756</v>
      </c>
      <c r="W7">
        <f>VLOOKUP(A7,'Roads Pivot'!A:C,3,0)</f>
        <v>2488990167113.125</v>
      </c>
      <c r="X7">
        <f t="shared" si="15"/>
        <v>1.3603834570036224</v>
      </c>
      <c r="Y7">
        <f t="shared" si="16"/>
        <v>0.45346115233454082</v>
      </c>
      <c r="Z7">
        <f t="shared" si="17"/>
        <v>4.0811503710108674</v>
      </c>
    </row>
    <row r="8" spans="1:26" x14ac:dyDescent="0.25">
      <c r="A8" s="1" t="s">
        <v>32</v>
      </c>
      <c r="B8">
        <f>VLOOKUP(A8,Rents!K:L,2,0)</f>
        <v>3847875041949.4258</v>
      </c>
      <c r="C8" s="8">
        <f>VLOOKUP(A8,'Costs Summary'!A:L,12,0)</f>
        <v>1482098583877.6035</v>
      </c>
      <c r="D8">
        <f t="shared" si="0"/>
        <v>0.38517326257214862</v>
      </c>
      <c r="E8">
        <f t="shared" si="1"/>
        <v>0.12839108752404954</v>
      </c>
      <c r="F8">
        <f t="shared" si="2"/>
        <v>1.1555197877164458</v>
      </c>
      <c r="G8">
        <f>VLOOKUP(A8,'Electricity Pivot'!A:C,3,0)</f>
        <v>355553555358.75751</v>
      </c>
      <c r="H8">
        <f t="shared" si="3"/>
        <v>9.2402573233933694E-2</v>
      </c>
      <c r="I8">
        <f t="shared" si="4"/>
        <v>3.0800857744644566E-2</v>
      </c>
      <c r="J8">
        <f t="shared" si="5"/>
        <v>0.27720771970180108</v>
      </c>
      <c r="K8">
        <f>VLOOKUP(A8,'Water Pivot'!A:C,3,0)</f>
        <v>37612785910.046417</v>
      </c>
      <c r="L8">
        <f t="shared" si="6"/>
        <v>9.774949939900043E-3</v>
      </c>
      <c r="M8">
        <f t="shared" si="7"/>
        <v>3.2583166466333478E-3</v>
      </c>
      <c r="N8">
        <f t="shared" si="8"/>
        <v>2.9324849819700131E-2</v>
      </c>
      <c r="O8">
        <f>VLOOKUP(A8,'Sanitation Pivot'!A:C,3,0)</f>
        <v>151834576701.02872</v>
      </c>
      <c r="P8">
        <f t="shared" si="9"/>
        <v>3.9459331461061606E-2</v>
      </c>
      <c r="Q8">
        <f t="shared" si="10"/>
        <v>1.3153110487020534E-2</v>
      </c>
      <c r="R8">
        <f t="shared" si="11"/>
        <v>0.11837799438318482</v>
      </c>
      <c r="S8">
        <f>VLOOKUP(A8,'ICT Pivot'!A:C,3,0)</f>
        <v>680365141696.83325</v>
      </c>
      <c r="T8">
        <f t="shared" si="12"/>
        <v>0.17681580983777059</v>
      </c>
      <c r="U8">
        <f t="shared" si="13"/>
        <v>5.8938603279256867E-2</v>
      </c>
      <c r="V8">
        <f t="shared" si="14"/>
        <v>0.53044742951331181</v>
      </c>
      <c r="W8">
        <f>VLOOKUP(A8,'Roads Pivot'!A:C,3,0)</f>
        <v>256732524210.9375</v>
      </c>
      <c r="X8">
        <f t="shared" si="15"/>
        <v>6.6720598099482623E-2</v>
      </c>
      <c r="Y8">
        <f t="shared" si="16"/>
        <v>2.2240199366494209E-2</v>
      </c>
      <c r="Z8">
        <f t="shared" si="17"/>
        <v>0.20016179429844788</v>
      </c>
    </row>
    <row r="9" spans="1:26" x14ac:dyDescent="0.25">
      <c r="C9" s="8">
        <f>SUM(C2:C8)</f>
        <v>11450916292690.443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abSelected="1" workbookViewId="0">
      <selection activeCell="J10" sqref="J10"/>
    </sheetView>
  </sheetViews>
  <sheetFormatPr baseColWidth="10" defaultRowHeight="15" x14ac:dyDescent="0.25"/>
  <cols>
    <col min="1" max="1" width="24.5703125" customWidth="1"/>
    <col min="2" max="2" width="37.5703125" style="3" bestFit="1" customWidth="1"/>
    <col min="3" max="3" width="26.140625" style="3" bestFit="1" customWidth="1"/>
  </cols>
  <sheetData>
    <row r="1" spans="1:3" x14ac:dyDescent="0.25">
      <c r="B1" s="4" t="s">
        <v>512</v>
      </c>
      <c r="C1"/>
    </row>
    <row r="2" spans="1:3" x14ac:dyDescent="0.25">
      <c r="A2" s="4" t="s">
        <v>4</v>
      </c>
      <c r="B2" t="s">
        <v>559</v>
      </c>
      <c r="C2" t="s">
        <v>557</v>
      </c>
    </row>
    <row r="3" spans="1:3" x14ac:dyDescent="0.25">
      <c r="A3" t="s">
        <v>26</v>
      </c>
      <c r="B3" s="3">
        <v>130750132.66747692</v>
      </c>
      <c r="C3" s="3">
        <v>22590032395.667591</v>
      </c>
    </row>
    <row r="4" spans="1:3" x14ac:dyDescent="0.25">
      <c r="A4" t="s">
        <v>19</v>
      </c>
      <c r="B4" s="3">
        <v>160338.34900000016</v>
      </c>
      <c r="C4" s="3">
        <v>0</v>
      </c>
    </row>
    <row r="5" spans="1:3" x14ac:dyDescent="0.25">
      <c r="A5" t="s">
        <v>35</v>
      </c>
      <c r="B5" s="3">
        <v>38784227.932470389</v>
      </c>
      <c r="C5" s="3">
        <v>13951852538.270027</v>
      </c>
    </row>
    <row r="6" spans="1:3" x14ac:dyDescent="0.25">
      <c r="A6" t="s">
        <v>22</v>
      </c>
      <c r="B6" s="3">
        <v>28903240.805502385</v>
      </c>
      <c r="C6" s="3">
        <v>5170087152.7712011</v>
      </c>
    </row>
    <row r="7" spans="1:3" x14ac:dyDescent="0.25">
      <c r="A7" t="s">
        <v>69</v>
      </c>
      <c r="B7" s="3">
        <v>0</v>
      </c>
      <c r="C7" s="3">
        <v>0</v>
      </c>
    </row>
    <row r="8" spans="1:3" x14ac:dyDescent="0.25">
      <c r="A8" t="s">
        <v>15</v>
      </c>
      <c r="B8" s="3">
        <v>509172693.52340001</v>
      </c>
      <c r="C8" s="3">
        <v>35860813880.245369</v>
      </c>
    </row>
    <row r="9" spans="1:3" x14ac:dyDescent="0.25">
      <c r="A9" t="s">
        <v>32</v>
      </c>
      <c r="B9" s="3">
        <v>988389899.86516631</v>
      </c>
      <c r="C9" s="3">
        <v>355553555358.75751</v>
      </c>
    </row>
    <row r="10" spans="1:3" x14ac:dyDescent="0.25">
      <c r="A10" t="s">
        <v>511</v>
      </c>
      <c r="B10" s="3">
        <v>1696160533.1430159</v>
      </c>
      <c r="C10" s="3">
        <v>433126341325.71167</v>
      </c>
    </row>
    <row r="11" spans="1:3" x14ac:dyDescent="0.25">
      <c r="B11"/>
      <c r="C11"/>
    </row>
    <row r="12" spans="1:3" x14ac:dyDescent="0.25">
      <c r="B12"/>
      <c r="C12"/>
    </row>
    <row r="13" spans="1:3" x14ac:dyDescent="0.25">
      <c r="B13"/>
      <c r="C13"/>
    </row>
    <row r="14" spans="1:3" x14ac:dyDescent="0.25">
      <c r="B14"/>
      <c r="C14"/>
    </row>
    <row r="15" spans="1:3" x14ac:dyDescent="0.25">
      <c r="B15"/>
      <c r="C15"/>
    </row>
    <row r="16" spans="1:3" x14ac:dyDescent="0.25">
      <c r="B16"/>
      <c r="C16"/>
    </row>
    <row r="17" spans="2:3" x14ac:dyDescent="0.25">
      <c r="B17"/>
      <c r="C17"/>
    </row>
    <row r="18" spans="2:3" x14ac:dyDescent="0.25">
      <c r="B18"/>
      <c r="C18"/>
    </row>
    <row r="19" spans="2:3" x14ac:dyDescent="0.25">
      <c r="B19"/>
      <c r="C19"/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85"/>
  <sheetViews>
    <sheetView topLeftCell="J1" zoomScale="90" zoomScaleNormal="90" workbookViewId="0">
      <selection activeCell="K8" sqref="K8"/>
    </sheetView>
  </sheetViews>
  <sheetFormatPr baseColWidth="10" defaultRowHeight="15" x14ac:dyDescent="0.25"/>
  <cols>
    <col min="1" max="1" width="20.7109375" style="19" customWidth="1"/>
    <col min="2" max="2" width="13" style="19" customWidth="1"/>
    <col min="3" max="3" width="21.5703125" style="19" customWidth="1"/>
    <col min="4" max="4" width="24.5703125" style="19" bestFit="1" customWidth="1"/>
    <col min="5" max="5" width="12.140625" style="19" bestFit="1" customWidth="1"/>
    <col min="6" max="6" width="15.85546875" style="23" customWidth="1"/>
    <col min="7" max="7" width="15.7109375" style="24" bestFit="1" customWidth="1"/>
    <col min="8" max="8" width="15.28515625" style="24" bestFit="1" customWidth="1"/>
    <col min="9" max="9" width="27.28515625" style="19" customWidth="1"/>
    <col min="10" max="10" width="30.5703125" style="24" customWidth="1"/>
    <col min="11" max="11" width="30.5703125" style="36" customWidth="1"/>
    <col min="12" max="12" width="28.140625" style="23" customWidth="1"/>
    <col min="13" max="13" width="18.42578125" style="24" customWidth="1"/>
    <col min="14" max="14" width="13.140625" style="19" customWidth="1"/>
    <col min="15" max="15" width="14.5703125" style="24" customWidth="1"/>
    <col min="16" max="16" width="20.140625" style="24" customWidth="1"/>
    <col min="17" max="17" width="19.85546875" style="24" bestFit="1" customWidth="1"/>
    <col min="18" max="18" width="19.85546875" style="36" customWidth="1"/>
    <col min="19" max="19" width="21" style="24" customWidth="1"/>
    <col min="20" max="20" width="29.140625" style="24" bestFit="1" customWidth="1"/>
    <col min="21" max="21" width="13.28515625" style="23" bestFit="1" customWidth="1"/>
    <col min="22" max="22" width="14.42578125" style="23" bestFit="1" customWidth="1"/>
    <col min="23" max="23" width="16.140625" style="23" bestFit="1" customWidth="1"/>
    <col min="24" max="16384" width="11.42578125" style="19"/>
  </cols>
  <sheetData>
    <row r="1" spans="1:23" s="10" customFormat="1" ht="15" customHeight="1" x14ac:dyDescent="0.25">
      <c r="A1" s="10" t="s">
        <v>458</v>
      </c>
      <c r="F1" s="13"/>
      <c r="G1" s="11"/>
      <c r="H1" s="11"/>
      <c r="J1" s="11"/>
      <c r="K1" s="38"/>
      <c r="L1" s="13"/>
      <c r="M1" s="11"/>
      <c r="O1" s="11"/>
      <c r="P1" s="11"/>
      <c r="Q1" s="11"/>
      <c r="R1" s="38"/>
      <c r="S1" s="11"/>
      <c r="T1" s="11"/>
      <c r="U1" s="13"/>
      <c r="V1" s="13"/>
      <c r="W1" s="13"/>
    </row>
    <row r="2" spans="1:23" s="10" customFormat="1" ht="15" customHeight="1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459</v>
      </c>
      <c r="F2" s="13" t="s">
        <v>509</v>
      </c>
      <c r="G2" s="11" t="s">
        <v>5</v>
      </c>
      <c r="H2" s="11" t="s">
        <v>6</v>
      </c>
      <c r="I2" s="10" t="s">
        <v>460</v>
      </c>
      <c r="J2" s="11" t="s">
        <v>461</v>
      </c>
      <c r="K2" s="38" t="s">
        <v>560</v>
      </c>
      <c r="L2" s="13" t="s">
        <v>476</v>
      </c>
      <c r="M2" s="11" t="s">
        <v>475</v>
      </c>
      <c r="N2" s="10" t="s">
        <v>462</v>
      </c>
      <c r="O2" s="11" t="s">
        <v>463</v>
      </c>
      <c r="P2" s="11" t="s">
        <v>464</v>
      </c>
      <c r="Q2" s="11" t="s">
        <v>486</v>
      </c>
      <c r="R2" s="38" t="s">
        <v>556</v>
      </c>
      <c r="S2" s="15" t="s">
        <v>506</v>
      </c>
      <c r="T2" s="15" t="s">
        <v>507</v>
      </c>
      <c r="U2" s="13" t="s">
        <v>508</v>
      </c>
      <c r="V2" s="13" t="s">
        <v>504</v>
      </c>
      <c r="W2" s="13" t="s">
        <v>505</v>
      </c>
    </row>
    <row r="3" spans="1:23" ht="15" customHeight="1" x14ac:dyDescent="0.25">
      <c r="A3" s="19" t="s">
        <v>12</v>
      </c>
      <c r="B3" s="19" t="s">
        <v>13</v>
      </c>
      <c r="C3" s="19" t="s">
        <v>14</v>
      </c>
      <c r="D3" s="19" t="s">
        <v>15</v>
      </c>
      <c r="E3" s="19" t="s">
        <v>465</v>
      </c>
      <c r="F3" s="23">
        <v>25.998990717254753</v>
      </c>
      <c r="G3" s="24">
        <v>28397812</v>
      </c>
      <c r="H3" s="24">
        <v>43499632</v>
      </c>
      <c r="I3" s="19">
        <v>57.1</v>
      </c>
      <c r="J3" s="24">
        <f t="shared" ref="J3:J66" si="0">(1-(I3/100))*H3</f>
        <v>18661342.127999999</v>
      </c>
      <c r="K3" s="36">
        <f>IFERROR(J3,0)</f>
        <v>18661342.127999999</v>
      </c>
      <c r="L3" s="23">
        <v>8.9092594499948508</v>
      </c>
      <c r="M3" s="24">
        <f t="shared" ref="M3:M66" si="1">J3*L3</f>
        <v>166258738.703471</v>
      </c>
      <c r="N3" s="19">
        <f>O3/M3</f>
        <v>1.8630000000000001E-2</v>
      </c>
      <c r="O3" s="24">
        <f>M3*0.01863</f>
        <v>3097400.3020456648</v>
      </c>
      <c r="P3" s="24">
        <f>(O3/5)*7.5</f>
        <v>4646100.4530684976</v>
      </c>
      <c r="Q3" s="24">
        <f>M3+P3</f>
        <v>170904839.1565395</v>
      </c>
      <c r="R3" s="36">
        <f>IFERROR(Q3,0)</f>
        <v>170904839.1565395</v>
      </c>
      <c r="S3" s="24">
        <v>275432181.35267156</v>
      </c>
      <c r="T3" s="24">
        <f>S3*15</f>
        <v>4131482720.2900734</v>
      </c>
      <c r="U3" s="23">
        <f>Q3/T3</f>
        <v>4.1366465922079466E-2</v>
      </c>
      <c r="V3" s="23">
        <f>(Q3/2)/(T3*1.5)</f>
        <v>1.3788821974026489E-2</v>
      </c>
      <c r="W3" s="23">
        <f>(Q3*1.5)/(T3/2)</f>
        <v>0.12409939776623841</v>
      </c>
    </row>
    <row r="4" spans="1:23" ht="15" customHeight="1" x14ac:dyDescent="0.25">
      <c r="A4" s="19" t="s">
        <v>16</v>
      </c>
      <c r="B4" s="19" t="s">
        <v>17</v>
      </c>
      <c r="C4" s="19" t="s">
        <v>18</v>
      </c>
      <c r="D4" s="19" t="s">
        <v>19</v>
      </c>
      <c r="E4" s="19" t="s">
        <v>232</v>
      </c>
      <c r="F4" s="23">
        <v>270.56505523889945</v>
      </c>
      <c r="G4" s="24">
        <v>3150143</v>
      </c>
      <c r="H4" s="24">
        <v>3310564</v>
      </c>
      <c r="I4" s="19">
        <v>95.9</v>
      </c>
      <c r="J4" s="24">
        <f t="shared" si="0"/>
        <v>135733.12399999975</v>
      </c>
      <c r="K4" s="36">
        <f t="shared" ref="K4:K67" si="2">IFERROR(J4,0)</f>
        <v>135733.12399999975</v>
      </c>
      <c r="L4" s="23">
        <v>270.56505523889945</v>
      </c>
      <c r="M4" s="24">
        <f t="shared" si="1"/>
        <v>36724640.192808323</v>
      </c>
      <c r="N4" s="19">
        <f t="shared" ref="N4:N67" si="3">O4/M4</f>
        <v>1.8630000000000001E-2</v>
      </c>
      <c r="O4" s="24">
        <f t="shared" ref="O4:O67" si="4">M4*0.01863</f>
        <v>684180.04679201904</v>
      </c>
      <c r="P4" s="24">
        <f t="shared" ref="P4:P67" si="5">(O4/5)*7.5</f>
        <v>1026270.0701880285</v>
      </c>
      <c r="Q4" s="24">
        <f t="shared" ref="Q4:Q67" si="6">M4+P4</f>
        <v>37750910.262996353</v>
      </c>
      <c r="R4" s="36">
        <f t="shared" ref="R4:R67" si="7">IFERROR(Q4,0)</f>
        <v>37750910.262996353</v>
      </c>
      <c r="S4" s="24">
        <v>411495291.46132761</v>
      </c>
      <c r="T4" s="24">
        <f t="shared" ref="T4:T67" si="8">S4*15</f>
        <v>6172429371.9199142</v>
      </c>
      <c r="U4" s="23">
        <f t="shared" ref="U4:U67" si="9">Q4/T4</f>
        <v>6.1160538239182884E-3</v>
      </c>
      <c r="V4" s="23">
        <f t="shared" ref="V4:V67" si="10">(Q4/2)/(T4*1.5)</f>
        <v>2.0386846079727631E-3</v>
      </c>
      <c r="W4" s="23">
        <f t="shared" ref="W4:W67" si="11">(Q4*1.5)/(T4/2)</f>
        <v>1.8348161471754866E-2</v>
      </c>
    </row>
    <row r="5" spans="1:23" ht="15" customHeight="1" x14ac:dyDescent="0.25">
      <c r="A5" s="19" t="s">
        <v>20</v>
      </c>
      <c r="B5" s="19" t="s">
        <v>21</v>
      </c>
      <c r="C5" s="19" t="s">
        <v>18</v>
      </c>
      <c r="D5" s="19" t="s">
        <v>22</v>
      </c>
      <c r="E5" s="19" t="s">
        <v>466</v>
      </c>
      <c r="F5" s="23">
        <v>412.83830673143649</v>
      </c>
      <c r="G5" s="24">
        <v>37062820</v>
      </c>
      <c r="H5" s="24">
        <v>48561408</v>
      </c>
      <c r="I5" s="19">
        <v>83.8</v>
      </c>
      <c r="J5" s="24">
        <f t="shared" si="0"/>
        <v>7866948.0960000018</v>
      </c>
      <c r="K5" s="36">
        <f t="shared" si="2"/>
        <v>7866948.0960000018</v>
      </c>
      <c r="L5" s="23">
        <v>494.8797606719595</v>
      </c>
      <c r="M5" s="24">
        <f t="shared" si="1"/>
        <v>3893193390.9672084</v>
      </c>
      <c r="N5" s="19">
        <f t="shared" si="3"/>
        <v>1.8630000000000001E-2</v>
      </c>
      <c r="O5" s="24">
        <f t="shared" si="4"/>
        <v>72530192.873719096</v>
      </c>
      <c r="P5" s="24">
        <f t="shared" si="5"/>
        <v>108795289.31057864</v>
      </c>
      <c r="Q5" s="24">
        <f t="shared" si="6"/>
        <v>4001988680.2777872</v>
      </c>
      <c r="R5" s="36">
        <f t="shared" si="7"/>
        <v>4001988680.2777872</v>
      </c>
      <c r="S5" s="24">
        <v>41290138275.752869</v>
      </c>
      <c r="T5" s="24">
        <f t="shared" si="8"/>
        <v>619352074136.29297</v>
      </c>
      <c r="U5" s="23">
        <f t="shared" si="9"/>
        <v>6.4615730654631184E-3</v>
      </c>
      <c r="V5" s="23">
        <f t="shared" si="10"/>
        <v>2.153857688487706E-3</v>
      </c>
      <c r="W5" s="23">
        <f t="shared" si="11"/>
        <v>1.9384719196389358E-2</v>
      </c>
    </row>
    <row r="6" spans="1:23" ht="15" customHeight="1" x14ac:dyDescent="0.25">
      <c r="A6" s="19" t="s">
        <v>24</v>
      </c>
      <c r="B6" s="19" t="s">
        <v>25</v>
      </c>
      <c r="C6" s="19" t="s">
        <v>18</v>
      </c>
      <c r="D6" s="19" t="s">
        <v>26</v>
      </c>
      <c r="E6" s="19" t="s">
        <v>232</v>
      </c>
      <c r="F6" s="23" t="s">
        <v>232</v>
      </c>
      <c r="G6" s="24">
        <v>55636</v>
      </c>
      <c r="H6" s="24">
        <v>60989</v>
      </c>
      <c r="I6" s="19">
        <v>100</v>
      </c>
      <c r="J6" s="24">
        <f t="shared" si="0"/>
        <v>0</v>
      </c>
      <c r="K6" s="36">
        <f t="shared" si="2"/>
        <v>0</v>
      </c>
      <c r="L6" s="23" t="s">
        <v>232</v>
      </c>
      <c r="M6" s="24" t="e">
        <f t="shared" si="1"/>
        <v>#VALUE!</v>
      </c>
      <c r="N6" s="19" t="e">
        <f t="shared" si="3"/>
        <v>#VALUE!</v>
      </c>
      <c r="O6" s="24" t="e">
        <f t="shared" si="4"/>
        <v>#VALUE!</v>
      </c>
      <c r="P6" s="24" t="e">
        <f t="shared" si="5"/>
        <v>#VALUE!</v>
      </c>
      <c r="Q6" s="24" t="e">
        <f t="shared" si="6"/>
        <v>#VALUE!</v>
      </c>
      <c r="R6" s="36">
        <f t="shared" si="7"/>
        <v>0</v>
      </c>
      <c r="S6" s="23" t="s">
        <v>232</v>
      </c>
      <c r="T6" s="24" t="e">
        <f t="shared" si="8"/>
        <v>#VALUE!</v>
      </c>
      <c r="U6" s="23" t="e">
        <f t="shared" si="9"/>
        <v>#VALUE!</v>
      </c>
      <c r="V6" s="23" t="e">
        <f t="shared" si="10"/>
        <v>#VALUE!</v>
      </c>
      <c r="W6" s="23" t="e">
        <f t="shared" si="11"/>
        <v>#VALUE!</v>
      </c>
    </row>
    <row r="7" spans="1:23" ht="15" customHeight="1" x14ac:dyDescent="0.25">
      <c r="A7" s="19" t="s">
        <v>27</v>
      </c>
      <c r="B7" s="19" t="s">
        <v>28</v>
      </c>
      <c r="C7" s="19" t="s">
        <v>29</v>
      </c>
      <c r="D7" s="19" t="s">
        <v>19</v>
      </c>
      <c r="E7" s="19" t="s">
        <v>232</v>
      </c>
      <c r="F7" s="23" t="s">
        <v>232</v>
      </c>
      <c r="G7" s="24">
        <v>77907</v>
      </c>
      <c r="H7" s="24">
        <v>88710</v>
      </c>
      <c r="I7" s="19">
        <v>100</v>
      </c>
      <c r="J7" s="24">
        <f t="shared" si="0"/>
        <v>0</v>
      </c>
      <c r="K7" s="36">
        <f t="shared" si="2"/>
        <v>0</v>
      </c>
      <c r="L7" s="23" t="s">
        <v>232</v>
      </c>
      <c r="M7" s="24" t="e">
        <f t="shared" si="1"/>
        <v>#VALUE!</v>
      </c>
      <c r="N7" s="19" t="e">
        <f t="shared" si="3"/>
        <v>#VALUE!</v>
      </c>
      <c r="O7" s="24" t="e">
        <f t="shared" si="4"/>
        <v>#VALUE!</v>
      </c>
      <c r="P7" s="24" t="e">
        <f t="shared" si="5"/>
        <v>#VALUE!</v>
      </c>
      <c r="Q7" s="24" t="e">
        <f t="shared" si="6"/>
        <v>#VALUE!</v>
      </c>
      <c r="R7" s="36">
        <f t="shared" si="7"/>
        <v>0</v>
      </c>
      <c r="S7" s="23" t="s">
        <v>232</v>
      </c>
      <c r="T7" s="24" t="e">
        <f t="shared" si="8"/>
        <v>#VALUE!</v>
      </c>
      <c r="U7" s="23" t="e">
        <f t="shared" si="9"/>
        <v>#VALUE!</v>
      </c>
      <c r="V7" s="23" t="e">
        <f t="shared" si="10"/>
        <v>#VALUE!</v>
      </c>
      <c r="W7" s="23" t="e">
        <f t="shared" si="11"/>
        <v>#VALUE!</v>
      </c>
    </row>
    <row r="8" spans="1:23" ht="15" customHeight="1" x14ac:dyDescent="0.25">
      <c r="A8" s="19" t="s">
        <v>30</v>
      </c>
      <c r="B8" s="19" t="s">
        <v>31</v>
      </c>
      <c r="C8" s="19" t="s">
        <v>18</v>
      </c>
      <c r="D8" s="19" t="s">
        <v>32</v>
      </c>
      <c r="E8" s="19" t="s">
        <v>467</v>
      </c>
      <c r="F8" s="23">
        <v>68.964152792292879</v>
      </c>
      <c r="G8" s="24">
        <v>19549124</v>
      </c>
      <c r="H8" s="24">
        <v>34783312</v>
      </c>
      <c r="I8" s="19">
        <v>52.6</v>
      </c>
      <c r="J8" s="24">
        <f t="shared" si="0"/>
        <v>16487289.887999998</v>
      </c>
      <c r="K8" s="36">
        <f t="shared" si="2"/>
        <v>16487289.887999998</v>
      </c>
      <c r="L8" s="23">
        <v>267.12670435650148</v>
      </c>
      <c r="M8" s="24">
        <f t="shared" si="1"/>
        <v>4404195411.551712</v>
      </c>
      <c r="N8" s="19">
        <f t="shared" si="3"/>
        <v>1.8630000000000001E-2</v>
      </c>
      <c r="O8" s="24">
        <f t="shared" si="4"/>
        <v>82050160.517208397</v>
      </c>
      <c r="P8" s="24">
        <f t="shared" si="5"/>
        <v>123075240.7758126</v>
      </c>
      <c r="Q8" s="24">
        <f t="shared" si="6"/>
        <v>4527270652.3275242</v>
      </c>
      <c r="R8" s="36">
        <f t="shared" si="7"/>
        <v>4527270652.3275242</v>
      </c>
      <c r="S8" s="24">
        <v>38084701465.664787</v>
      </c>
      <c r="T8" s="24">
        <f t="shared" si="8"/>
        <v>571270521984.9718</v>
      </c>
      <c r="U8" s="23">
        <f t="shared" si="9"/>
        <v>7.924915566440904E-3</v>
      </c>
      <c r="V8" s="23">
        <f t="shared" si="10"/>
        <v>2.641638522146968E-3</v>
      </c>
      <c r="W8" s="23">
        <f t="shared" si="11"/>
        <v>2.3774746699322714E-2</v>
      </c>
    </row>
    <row r="9" spans="1:23" s="31" customFormat="1" ht="15" customHeight="1" x14ac:dyDescent="0.25">
      <c r="A9" s="31" t="s">
        <v>33</v>
      </c>
      <c r="B9" s="31" t="s">
        <v>34</v>
      </c>
      <c r="C9" s="31" t="s">
        <v>29</v>
      </c>
      <c r="D9" s="31" t="s">
        <v>35</v>
      </c>
      <c r="E9" s="31" t="s">
        <v>468</v>
      </c>
      <c r="F9" s="29">
        <v>457.1136934673367</v>
      </c>
      <c r="G9" s="30">
        <v>87233</v>
      </c>
      <c r="H9" s="30">
        <v>104982</v>
      </c>
      <c r="I9" s="31">
        <v>97.9</v>
      </c>
      <c r="J9" s="24">
        <f t="shared" si="0"/>
        <v>2204.6219999999903</v>
      </c>
      <c r="K9" s="36">
        <f t="shared" si="2"/>
        <v>2204.6219999999903</v>
      </c>
      <c r="L9" s="29">
        <v>457.1136934673367</v>
      </c>
      <c r="M9" s="24">
        <f t="shared" si="1"/>
        <v>1007762.9051193424</v>
      </c>
      <c r="N9" s="19">
        <f t="shared" si="3"/>
        <v>1.8630000000000001E-2</v>
      </c>
      <c r="O9" s="24">
        <f t="shared" si="4"/>
        <v>18774.62292237335</v>
      </c>
      <c r="P9" s="24">
        <f t="shared" si="5"/>
        <v>28161.934383560027</v>
      </c>
      <c r="Q9" s="24">
        <f t="shared" si="6"/>
        <v>1035924.8395029024</v>
      </c>
      <c r="R9" s="36">
        <f t="shared" si="7"/>
        <v>1035924.8395029024</v>
      </c>
      <c r="S9" s="24">
        <v>0</v>
      </c>
      <c r="T9" s="24">
        <f t="shared" si="8"/>
        <v>0</v>
      </c>
      <c r="U9" s="23" t="e">
        <f t="shared" si="9"/>
        <v>#DIV/0!</v>
      </c>
      <c r="V9" s="23" t="e">
        <f t="shared" si="10"/>
        <v>#DIV/0!</v>
      </c>
      <c r="W9" s="23" t="e">
        <f t="shared" si="11"/>
        <v>#DIV/0!</v>
      </c>
    </row>
    <row r="10" spans="1:23" ht="15" customHeight="1" x14ac:dyDescent="0.25">
      <c r="A10" s="19" t="s">
        <v>36</v>
      </c>
      <c r="B10" s="19" t="s">
        <v>37</v>
      </c>
      <c r="C10" s="19" t="s">
        <v>18</v>
      </c>
      <c r="D10" s="19" t="s">
        <v>35</v>
      </c>
      <c r="E10" s="19" t="s">
        <v>468</v>
      </c>
      <c r="F10" s="23">
        <v>457.1136934673367</v>
      </c>
      <c r="G10" s="24">
        <v>40374224</v>
      </c>
      <c r="H10" s="24">
        <v>46859381</v>
      </c>
      <c r="I10" s="19">
        <v>98.4</v>
      </c>
      <c r="J10" s="24">
        <f t="shared" si="0"/>
        <v>749750.09599999548</v>
      </c>
      <c r="K10" s="36">
        <f t="shared" si="2"/>
        <v>749750.09599999548</v>
      </c>
      <c r="L10" s="23">
        <v>485.89341692789969</v>
      </c>
      <c r="M10" s="24">
        <f t="shared" si="1"/>
        <v>364298635.98745865</v>
      </c>
      <c r="N10" s="19">
        <f t="shared" si="3"/>
        <v>1.8630000000000001E-2</v>
      </c>
      <c r="O10" s="24">
        <f t="shared" si="4"/>
        <v>6786883.5884463545</v>
      </c>
      <c r="P10" s="24">
        <f t="shared" si="5"/>
        <v>10180325.382669531</v>
      </c>
      <c r="Q10" s="24">
        <f t="shared" si="6"/>
        <v>374478961.37012815</v>
      </c>
      <c r="R10" s="36">
        <f t="shared" si="7"/>
        <v>374478961.37012815</v>
      </c>
      <c r="S10" s="24">
        <v>23990886710.821796</v>
      </c>
      <c r="T10" s="24">
        <f t="shared" si="8"/>
        <v>359863300662.32697</v>
      </c>
      <c r="U10" s="23">
        <f t="shared" si="9"/>
        <v>1.0406144796674213E-3</v>
      </c>
      <c r="V10" s="23">
        <f t="shared" si="10"/>
        <v>3.4687149322247372E-4</v>
      </c>
      <c r="W10" s="23">
        <f t="shared" si="11"/>
        <v>3.1218434390022638E-3</v>
      </c>
    </row>
    <row r="11" spans="1:23" ht="15" customHeight="1" x14ac:dyDescent="0.25">
      <c r="A11" s="19" t="s">
        <v>38</v>
      </c>
      <c r="B11" s="19" t="s">
        <v>39</v>
      </c>
      <c r="C11" s="19" t="s">
        <v>40</v>
      </c>
      <c r="D11" s="19" t="s">
        <v>19</v>
      </c>
      <c r="E11" s="19" t="s">
        <v>469</v>
      </c>
      <c r="F11" s="23">
        <v>270.56505523889945</v>
      </c>
      <c r="G11" s="24">
        <v>2963496</v>
      </c>
      <c r="H11" s="24">
        <v>2969807</v>
      </c>
      <c r="I11" s="19">
        <v>98.6</v>
      </c>
      <c r="J11" s="24">
        <f t="shared" si="0"/>
        <v>41577.298000000039</v>
      </c>
      <c r="K11" s="36">
        <f t="shared" si="2"/>
        <v>41577.298000000039</v>
      </c>
      <c r="L11" s="23">
        <v>617.64705882352939</v>
      </c>
      <c r="M11" s="24">
        <f t="shared" si="1"/>
        <v>25680095.823529433</v>
      </c>
      <c r="N11" s="19">
        <f t="shared" si="3"/>
        <v>1.8630000000000001E-2</v>
      </c>
      <c r="O11" s="24">
        <f t="shared" si="4"/>
        <v>478420.18519235338</v>
      </c>
      <c r="P11" s="24">
        <f t="shared" si="5"/>
        <v>717630.2777885301</v>
      </c>
      <c r="Q11" s="24">
        <f t="shared" si="6"/>
        <v>26397726.101317964</v>
      </c>
      <c r="R11" s="36">
        <f t="shared" si="7"/>
        <v>26397726.101317964</v>
      </c>
      <c r="S11" s="24">
        <v>346885961.37184739</v>
      </c>
      <c r="T11" s="24">
        <f t="shared" si="8"/>
        <v>5203289420.5777111</v>
      </c>
      <c r="U11" s="23">
        <f t="shared" si="9"/>
        <v>5.0732765309808728E-3</v>
      </c>
      <c r="V11" s="23">
        <f t="shared" si="10"/>
        <v>1.6910921769936241E-3</v>
      </c>
      <c r="W11" s="23">
        <f t="shared" si="11"/>
        <v>1.5219829592942616E-2</v>
      </c>
    </row>
    <row r="12" spans="1:23" ht="15" customHeight="1" x14ac:dyDescent="0.25">
      <c r="A12" s="19" t="s">
        <v>41</v>
      </c>
      <c r="B12" s="19" t="s">
        <v>42</v>
      </c>
      <c r="C12" s="19" t="s">
        <v>29</v>
      </c>
      <c r="D12" s="19" t="s">
        <v>35</v>
      </c>
      <c r="E12" s="19" t="s">
        <v>468</v>
      </c>
      <c r="F12" s="23">
        <v>457.1136934673367</v>
      </c>
      <c r="G12" s="24">
        <v>101597</v>
      </c>
      <c r="H12" s="24">
        <v>107734</v>
      </c>
      <c r="I12" s="19">
        <v>97.4</v>
      </c>
      <c r="J12" s="24">
        <f t="shared" si="0"/>
        <v>2801.0839999999907</v>
      </c>
      <c r="K12" s="36">
        <f t="shared" si="2"/>
        <v>2801.0839999999907</v>
      </c>
      <c r="L12" s="23">
        <v>457.1136934673367</v>
      </c>
      <c r="M12" s="24">
        <f t="shared" si="1"/>
        <v>1280413.852952257</v>
      </c>
      <c r="N12" s="19">
        <f t="shared" si="3"/>
        <v>1.8630000000000001E-2</v>
      </c>
      <c r="O12" s="24">
        <f t="shared" si="4"/>
        <v>23854.110080500548</v>
      </c>
      <c r="P12" s="24">
        <f t="shared" si="5"/>
        <v>35781.165120750826</v>
      </c>
      <c r="Q12" s="24">
        <f t="shared" si="6"/>
        <v>1316195.0180730079</v>
      </c>
      <c r="R12" s="36">
        <f t="shared" si="7"/>
        <v>1316195.0180730079</v>
      </c>
      <c r="S12" s="24">
        <v>93353.484085037111</v>
      </c>
      <c r="T12" s="24">
        <f t="shared" si="8"/>
        <v>1400302.2612755566</v>
      </c>
      <c r="U12" s="23">
        <f t="shared" si="9"/>
        <v>0.93993636550587722</v>
      </c>
      <c r="V12" s="23">
        <f t="shared" si="10"/>
        <v>0.31331212183529239</v>
      </c>
      <c r="W12" s="23">
        <f t="shared" si="11"/>
        <v>2.8198090965176315</v>
      </c>
    </row>
    <row r="13" spans="1:23" ht="15" customHeight="1" x14ac:dyDescent="0.25">
      <c r="A13" s="19" t="s">
        <v>43</v>
      </c>
      <c r="B13" s="19" t="s">
        <v>44</v>
      </c>
      <c r="C13" s="19" t="s">
        <v>45</v>
      </c>
      <c r="D13" s="19" t="s">
        <v>26</v>
      </c>
      <c r="E13" s="19" t="s">
        <v>232</v>
      </c>
      <c r="F13" s="23" t="s">
        <v>232</v>
      </c>
      <c r="G13" s="24">
        <v>22031800</v>
      </c>
      <c r="H13" s="24">
        <v>28335501</v>
      </c>
      <c r="I13" s="19">
        <v>100</v>
      </c>
      <c r="J13" s="24">
        <f t="shared" si="0"/>
        <v>0</v>
      </c>
      <c r="K13" s="36">
        <f t="shared" si="2"/>
        <v>0</v>
      </c>
      <c r="L13" s="23" t="s">
        <v>232</v>
      </c>
      <c r="M13" s="24" t="e">
        <f t="shared" si="1"/>
        <v>#VALUE!</v>
      </c>
      <c r="N13" s="19" t="e">
        <f t="shared" si="3"/>
        <v>#VALUE!</v>
      </c>
      <c r="O13" s="24" t="e">
        <f t="shared" si="4"/>
        <v>#VALUE!</v>
      </c>
      <c r="P13" s="24" t="e">
        <f t="shared" si="5"/>
        <v>#VALUE!</v>
      </c>
      <c r="Q13" s="24" t="e">
        <f t="shared" si="6"/>
        <v>#VALUE!</v>
      </c>
      <c r="R13" s="36">
        <f t="shared" si="7"/>
        <v>0</v>
      </c>
      <c r="S13" s="24">
        <v>111498672067.56895</v>
      </c>
      <c r="T13" s="24">
        <f t="shared" si="8"/>
        <v>1672480081013.5344</v>
      </c>
      <c r="U13" s="23" t="e">
        <f t="shared" si="9"/>
        <v>#VALUE!</v>
      </c>
      <c r="V13" s="23" t="e">
        <f t="shared" si="10"/>
        <v>#VALUE!</v>
      </c>
      <c r="W13" s="23" t="e">
        <f t="shared" si="11"/>
        <v>#VALUE!</v>
      </c>
    </row>
    <row r="14" spans="1:23" ht="15" customHeight="1" x14ac:dyDescent="0.25">
      <c r="A14" s="19" t="s">
        <v>46</v>
      </c>
      <c r="B14" s="19" t="s">
        <v>47</v>
      </c>
      <c r="C14" s="19" t="s">
        <v>45</v>
      </c>
      <c r="D14" s="19" t="s">
        <v>19</v>
      </c>
      <c r="E14" s="19" t="s">
        <v>232</v>
      </c>
      <c r="F14" s="23" t="s">
        <v>232</v>
      </c>
      <c r="G14" s="24">
        <v>8389771</v>
      </c>
      <c r="H14" s="24">
        <v>9005424</v>
      </c>
      <c r="I14" s="19">
        <v>100</v>
      </c>
      <c r="J14" s="24">
        <f t="shared" si="0"/>
        <v>0</v>
      </c>
      <c r="K14" s="36">
        <f t="shared" si="2"/>
        <v>0</v>
      </c>
      <c r="L14" s="23" t="s">
        <v>232</v>
      </c>
      <c r="M14" s="24" t="e">
        <f t="shared" si="1"/>
        <v>#VALUE!</v>
      </c>
      <c r="N14" s="19" t="e">
        <f t="shared" si="3"/>
        <v>#VALUE!</v>
      </c>
      <c r="O14" s="24" t="e">
        <f t="shared" si="4"/>
        <v>#VALUE!</v>
      </c>
      <c r="P14" s="24" t="e">
        <f t="shared" si="5"/>
        <v>#VALUE!</v>
      </c>
      <c r="Q14" s="24" t="e">
        <f t="shared" si="6"/>
        <v>#VALUE!</v>
      </c>
      <c r="R14" s="36">
        <f t="shared" si="7"/>
        <v>0</v>
      </c>
      <c r="S14" s="24">
        <v>1711085863.7734871</v>
      </c>
      <c r="T14" s="24">
        <f t="shared" si="8"/>
        <v>25666287956.602306</v>
      </c>
      <c r="U14" s="23" t="e">
        <f t="shared" si="9"/>
        <v>#VALUE!</v>
      </c>
      <c r="V14" s="23" t="e">
        <f t="shared" si="10"/>
        <v>#VALUE!</v>
      </c>
      <c r="W14" s="23" t="e">
        <f t="shared" si="11"/>
        <v>#VALUE!</v>
      </c>
    </row>
    <row r="15" spans="1:23" ht="15" customHeight="1" x14ac:dyDescent="0.25">
      <c r="A15" s="19" t="s">
        <v>48</v>
      </c>
      <c r="B15" s="19" t="s">
        <v>49</v>
      </c>
      <c r="C15" s="19" t="s">
        <v>18</v>
      </c>
      <c r="D15" s="19" t="s">
        <v>19</v>
      </c>
      <c r="E15" s="19" t="s">
        <v>469</v>
      </c>
      <c r="F15" s="23">
        <v>270.56505523889945</v>
      </c>
      <c r="G15" s="24">
        <v>9054332</v>
      </c>
      <c r="H15" s="24">
        <v>10474377</v>
      </c>
      <c r="I15" s="19">
        <v>80.2</v>
      </c>
      <c r="J15" s="24">
        <f t="shared" si="0"/>
        <v>2073926.6459999995</v>
      </c>
      <c r="K15" s="36">
        <f t="shared" si="2"/>
        <v>2073926.6459999995</v>
      </c>
      <c r="L15" s="23">
        <v>315.72052401746726</v>
      </c>
      <c r="M15" s="24">
        <f t="shared" si="1"/>
        <v>654781207.44890809</v>
      </c>
      <c r="N15" s="19">
        <f t="shared" si="3"/>
        <v>1.8630000000000001E-2</v>
      </c>
      <c r="O15" s="24">
        <f t="shared" si="4"/>
        <v>12198573.894773157</v>
      </c>
      <c r="P15" s="24">
        <f t="shared" si="5"/>
        <v>18297860.842159737</v>
      </c>
      <c r="Q15" s="24">
        <f t="shared" si="6"/>
        <v>673079068.29106784</v>
      </c>
      <c r="R15" s="36">
        <f t="shared" si="7"/>
        <v>673079068.29106784</v>
      </c>
      <c r="S15" s="24">
        <v>24407648660.104939</v>
      </c>
      <c r="T15" s="24">
        <f t="shared" si="8"/>
        <v>366114729901.5741</v>
      </c>
      <c r="U15" s="23">
        <f t="shared" si="9"/>
        <v>1.8384375533648091E-3</v>
      </c>
      <c r="V15" s="23">
        <f t="shared" si="10"/>
        <v>6.1281251778826974E-4</v>
      </c>
      <c r="W15" s="23">
        <f t="shared" si="11"/>
        <v>5.5153126600944275E-3</v>
      </c>
    </row>
    <row r="16" spans="1:23" ht="15" customHeight="1" x14ac:dyDescent="0.25">
      <c r="A16" s="19" t="s">
        <v>50</v>
      </c>
      <c r="B16" s="19" t="s">
        <v>51</v>
      </c>
      <c r="C16" s="19" t="s">
        <v>29</v>
      </c>
      <c r="D16" s="19" t="s">
        <v>35</v>
      </c>
      <c r="E16" s="19" t="s">
        <v>468</v>
      </c>
      <c r="F16" s="23">
        <v>457.1136934673367</v>
      </c>
      <c r="G16" s="24">
        <v>360498</v>
      </c>
      <c r="H16" s="24">
        <v>447410</v>
      </c>
      <c r="I16" s="19">
        <v>98.1</v>
      </c>
      <c r="J16" s="24">
        <f t="shared" si="0"/>
        <v>8500.7900000000081</v>
      </c>
      <c r="K16" s="36">
        <f t="shared" si="2"/>
        <v>8500.7900000000081</v>
      </c>
      <c r="L16" s="23">
        <v>457.1136934673367</v>
      </c>
      <c r="M16" s="24">
        <f t="shared" si="1"/>
        <v>3885827.5142902047</v>
      </c>
      <c r="N16" s="19">
        <f t="shared" si="3"/>
        <v>1.8630000000000001E-2</v>
      </c>
      <c r="O16" s="24">
        <f t="shared" si="4"/>
        <v>72392.966591226519</v>
      </c>
      <c r="P16" s="24">
        <f t="shared" si="5"/>
        <v>108589.44988683978</v>
      </c>
      <c r="Q16" s="24">
        <f t="shared" si="6"/>
        <v>3994416.9641770446</v>
      </c>
      <c r="R16" s="36">
        <f t="shared" si="7"/>
        <v>3994416.9641770446</v>
      </c>
      <c r="S16" s="24">
        <v>2651920.615148271</v>
      </c>
      <c r="T16" s="24">
        <f t="shared" si="8"/>
        <v>39778809.227224067</v>
      </c>
      <c r="U16" s="23">
        <f t="shared" si="9"/>
        <v>0.10041569976014568</v>
      </c>
      <c r="V16" s="23">
        <f t="shared" si="10"/>
        <v>3.3471899920048558E-2</v>
      </c>
      <c r="W16" s="23">
        <f t="shared" si="11"/>
        <v>0.30124709928043708</v>
      </c>
    </row>
    <row r="17" spans="1:23" ht="15" customHeight="1" x14ac:dyDescent="0.25">
      <c r="A17" s="19" t="s">
        <v>52</v>
      </c>
      <c r="B17" s="19" t="s">
        <v>53</v>
      </c>
      <c r="C17" s="19" t="s">
        <v>29</v>
      </c>
      <c r="D17" s="19" t="s">
        <v>22</v>
      </c>
      <c r="E17" s="19" t="s">
        <v>232</v>
      </c>
      <c r="F17" s="23" t="s">
        <v>232</v>
      </c>
      <c r="G17" s="24">
        <v>1251513</v>
      </c>
      <c r="H17" s="24">
        <v>1641988</v>
      </c>
      <c r="I17" s="19">
        <v>100</v>
      </c>
      <c r="J17" s="24">
        <f t="shared" si="0"/>
        <v>0</v>
      </c>
      <c r="K17" s="36">
        <f t="shared" si="2"/>
        <v>0</v>
      </c>
      <c r="L17" s="23" t="s">
        <v>232</v>
      </c>
      <c r="M17" s="24" t="e">
        <f t="shared" si="1"/>
        <v>#VALUE!</v>
      </c>
      <c r="N17" s="19" t="e">
        <f t="shared" si="3"/>
        <v>#VALUE!</v>
      </c>
      <c r="O17" s="24" t="e">
        <f t="shared" si="4"/>
        <v>#VALUE!</v>
      </c>
      <c r="P17" s="24" t="e">
        <f t="shared" si="5"/>
        <v>#VALUE!</v>
      </c>
      <c r="Q17" s="24" t="e">
        <f t="shared" si="6"/>
        <v>#VALUE!</v>
      </c>
      <c r="R17" s="36">
        <f t="shared" si="7"/>
        <v>0</v>
      </c>
      <c r="S17" s="24">
        <v>5828990079.2173672</v>
      </c>
      <c r="T17" s="24">
        <f t="shared" si="8"/>
        <v>87434851188.260513</v>
      </c>
      <c r="U17" s="23" t="e">
        <f t="shared" si="9"/>
        <v>#VALUE!</v>
      </c>
      <c r="V17" s="23" t="e">
        <f t="shared" si="10"/>
        <v>#VALUE!</v>
      </c>
      <c r="W17" s="23" t="e">
        <f t="shared" si="11"/>
        <v>#VALUE!</v>
      </c>
    </row>
    <row r="18" spans="1:23" ht="15" customHeight="1" x14ac:dyDescent="0.25">
      <c r="A18" s="19" t="s">
        <v>55</v>
      </c>
      <c r="B18" s="19" t="s">
        <v>56</v>
      </c>
      <c r="C18" s="19" t="s">
        <v>14</v>
      </c>
      <c r="D18" s="19" t="s">
        <v>15</v>
      </c>
      <c r="E18" s="19" t="s">
        <v>465</v>
      </c>
      <c r="F18" s="23">
        <v>25.998990717254753</v>
      </c>
      <c r="G18" s="24">
        <v>151125475</v>
      </c>
      <c r="H18" s="24">
        <v>185063630</v>
      </c>
      <c r="I18" s="19">
        <v>83.4</v>
      </c>
      <c r="J18" s="24">
        <f t="shared" si="0"/>
        <v>30720562.579999987</v>
      </c>
      <c r="K18" s="36">
        <f t="shared" si="2"/>
        <v>30720562.579999987</v>
      </c>
      <c r="L18" s="23">
        <v>13.875123885034688</v>
      </c>
      <c r="M18" s="24">
        <f t="shared" si="1"/>
        <v>426251611.61546069</v>
      </c>
      <c r="N18" s="19">
        <f t="shared" si="3"/>
        <v>1.8630000000000001E-2</v>
      </c>
      <c r="O18" s="24">
        <f t="shared" si="4"/>
        <v>7941067.524396033</v>
      </c>
      <c r="P18" s="24">
        <f t="shared" si="5"/>
        <v>11911601.28659405</v>
      </c>
      <c r="Q18" s="24">
        <f t="shared" si="6"/>
        <v>438163212.90205473</v>
      </c>
      <c r="R18" s="36">
        <f t="shared" si="7"/>
        <v>438163212.90205473</v>
      </c>
      <c r="S18" s="24">
        <v>5122872663.1918049</v>
      </c>
      <c r="T18" s="24">
        <f t="shared" si="8"/>
        <v>76843089947.877075</v>
      </c>
      <c r="U18" s="23">
        <f t="shared" si="9"/>
        <v>5.702050935214374E-3</v>
      </c>
      <c r="V18" s="23">
        <f t="shared" si="10"/>
        <v>1.9006836450714579E-3</v>
      </c>
      <c r="W18" s="23">
        <f t="shared" si="11"/>
        <v>1.7106152805643121E-2</v>
      </c>
    </row>
    <row r="19" spans="1:23" ht="15" customHeight="1" x14ac:dyDescent="0.25">
      <c r="A19" s="19" t="s">
        <v>57</v>
      </c>
      <c r="B19" s="19" t="s">
        <v>58</v>
      </c>
      <c r="C19" s="19" t="s">
        <v>29</v>
      </c>
      <c r="D19" s="19" t="s">
        <v>35</v>
      </c>
      <c r="E19" s="19" t="s">
        <v>468</v>
      </c>
      <c r="F19" s="23">
        <v>457.1136934673367</v>
      </c>
      <c r="G19" s="24">
        <v>280396</v>
      </c>
      <c r="H19" s="24">
        <v>305709</v>
      </c>
      <c r="I19" s="19">
        <v>99.8</v>
      </c>
      <c r="J19" s="24">
        <f t="shared" si="0"/>
        <v>611.41800000000057</v>
      </c>
      <c r="K19" s="36">
        <f t="shared" si="2"/>
        <v>611.41800000000057</v>
      </c>
      <c r="L19" s="23">
        <v>625</v>
      </c>
      <c r="M19" s="24">
        <f t="shared" si="1"/>
        <v>382136.25000000035</v>
      </c>
      <c r="N19" s="19">
        <f t="shared" si="3"/>
        <v>1.8630000000000001E-2</v>
      </c>
      <c r="O19" s="24">
        <f t="shared" si="4"/>
        <v>7119.1983375000063</v>
      </c>
      <c r="P19" s="24">
        <f t="shared" si="5"/>
        <v>10678.79750625001</v>
      </c>
      <c r="Q19" s="24">
        <f t="shared" si="6"/>
        <v>392815.04750625038</v>
      </c>
      <c r="R19" s="36">
        <f t="shared" si="7"/>
        <v>392815.04750625038</v>
      </c>
      <c r="S19" s="24">
        <v>1055471.7325739102</v>
      </c>
      <c r="T19" s="24">
        <f t="shared" si="8"/>
        <v>15832075.988608653</v>
      </c>
      <c r="U19" s="23">
        <f t="shared" si="9"/>
        <v>2.4811341721002664E-2</v>
      </c>
      <c r="V19" s="23">
        <f t="shared" si="10"/>
        <v>8.2704472403342215E-3</v>
      </c>
      <c r="W19" s="23">
        <f t="shared" si="11"/>
        <v>7.4434025163007997E-2</v>
      </c>
    </row>
    <row r="20" spans="1:23" ht="15" customHeight="1" x14ac:dyDescent="0.25">
      <c r="A20" s="19" t="s">
        <v>59</v>
      </c>
      <c r="B20" s="19" t="s">
        <v>60</v>
      </c>
      <c r="C20" s="19" t="s">
        <v>18</v>
      </c>
      <c r="D20" s="19" t="s">
        <v>19</v>
      </c>
      <c r="E20" s="19" t="s">
        <v>232</v>
      </c>
      <c r="F20" s="23" t="s">
        <v>232</v>
      </c>
      <c r="G20" s="24">
        <v>9490000</v>
      </c>
      <c r="H20" s="24">
        <v>8488334</v>
      </c>
      <c r="I20" s="19">
        <v>99.6</v>
      </c>
      <c r="J20" s="24">
        <f t="shared" si="0"/>
        <v>33953.336000000032</v>
      </c>
      <c r="K20" s="36">
        <f t="shared" si="2"/>
        <v>33953.336000000032</v>
      </c>
      <c r="L20" s="23" t="s">
        <v>232</v>
      </c>
      <c r="M20" s="24" t="e">
        <f t="shared" si="1"/>
        <v>#VALUE!</v>
      </c>
      <c r="N20" s="19" t="e">
        <f t="shared" si="3"/>
        <v>#VALUE!</v>
      </c>
      <c r="O20" s="24" t="e">
        <f t="shared" si="4"/>
        <v>#VALUE!</v>
      </c>
      <c r="P20" s="24" t="e">
        <f t="shared" si="5"/>
        <v>#VALUE!</v>
      </c>
      <c r="Q20" s="24" t="e">
        <f t="shared" si="6"/>
        <v>#VALUE!</v>
      </c>
      <c r="R20" s="36">
        <f t="shared" si="7"/>
        <v>0</v>
      </c>
      <c r="S20" s="24">
        <v>1379214938.7502549</v>
      </c>
      <c r="T20" s="24">
        <f t="shared" si="8"/>
        <v>20688224081.253822</v>
      </c>
      <c r="U20" s="23" t="e">
        <f t="shared" si="9"/>
        <v>#VALUE!</v>
      </c>
      <c r="V20" s="23" t="e">
        <f t="shared" si="10"/>
        <v>#VALUE!</v>
      </c>
      <c r="W20" s="23" t="e">
        <f t="shared" si="11"/>
        <v>#VALUE!</v>
      </c>
    </row>
    <row r="21" spans="1:23" ht="15" customHeight="1" x14ac:dyDescent="0.25">
      <c r="A21" s="19" t="s">
        <v>61</v>
      </c>
      <c r="B21" s="19" t="s">
        <v>62</v>
      </c>
      <c r="C21" s="19" t="s">
        <v>45</v>
      </c>
      <c r="D21" s="19" t="s">
        <v>19</v>
      </c>
      <c r="E21" s="19" t="s">
        <v>232</v>
      </c>
      <c r="F21" s="23" t="s">
        <v>232</v>
      </c>
      <c r="G21" s="24">
        <v>10895586</v>
      </c>
      <c r="H21" s="24">
        <v>11664194</v>
      </c>
      <c r="I21" s="19">
        <v>100</v>
      </c>
      <c r="J21" s="24">
        <f t="shared" si="0"/>
        <v>0</v>
      </c>
      <c r="K21" s="36">
        <f t="shared" si="2"/>
        <v>0</v>
      </c>
      <c r="L21" s="23" t="s">
        <v>232</v>
      </c>
      <c r="M21" s="24" t="e">
        <f t="shared" si="1"/>
        <v>#VALUE!</v>
      </c>
      <c r="N21" s="19" t="e">
        <f t="shared" si="3"/>
        <v>#VALUE!</v>
      </c>
      <c r="O21" s="24" t="e">
        <f t="shared" si="4"/>
        <v>#VALUE!</v>
      </c>
      <c r="P21" s="24" t="e">
        <f t="shared" si="5"/>
        <v>#VALUE!</v>
      </c>
      <c r="Q21" s="24" t="e">
        <f t="shared" si="6"/>
        <v>#VALUE!</v>
      </c>
      <c r="R21" s="36">
        <f t="shared" si="7"/>
        <v>0</v>
      </c>
      <c r="S21" s="24">
        <v>306181202.30001646</v>
      </c>
      <c r="T21" s="24">
        <f t="shared" si="8"/>
        <v>4592718034.500247</v>
      </c>
      <c r="U21" s="23" t="e">
        <f t="shared" si="9"/>
        <v>#VALUE!</v>
      </c>
      <c r="V21" s="23" t="e">
        <f t="shared" si="10"/>
        <v>#VALUE!</v>
      </c>
      <c r="W21" s="23" t="e">
        <f t="shared" si="11"/>
        <v>#VALUE!</v>
      </c>
    </row>
    <row r="22" spans="1:23" ht="15" customHeight="1" x14ac:dyDescent="0.25">
      <c r="A22" s="19" t="s">
        <v>63</v>
      </c>
      <c r="B22" s="19" t="s">
        <v>64</v>
      </c>
      <c r="C22" s="19" t="s">
        <v>18</v>
      </c>
      <c r="D22" s="19" t="s">
        <v>35</v>
      </c>
      <c r="E22" s="19" t="s">
        <v>468</v>
      </c>
      <c r="F22" s="23">
        <v>457.1136934673367</v>
      </c>
      <c r="G22" s="24">
        <v>308595</v>
      </c>
      <c r="H22" s="24">
        <v>461277</v>
      </c>
      <c r="I22" s="19">
        <v>97.2</v>
      </c>
      <c r="J22" s="24">
        <f t="shared" si="0"/>
        <v>12915.756000000012</v>
      </c>
      <c r="K22" s="36">
        <f t="shared" si="2"/>
        <v>12915.756000000012</v>
      </c>
      <c r="L22" s="23">
        <v>361.11111111111109</v>
      </c>
      <c r="M22" s="24">
        <f t="shared" si="1"/>
        <v>4664023.0000000037</v>
      </c>
      <c r="N22" s="19">
        <f t="shared" si="3"/>
        <v>1.8630000000000001E-2</v>
      </c>
      <c r="O22" s="24">
        <f t="shared" si="4"/>
        <v>86890.748490000071</v>
      </c>
      <c r="P22" s="24">
        <f t="shared" si="5"/>
        <v>130336.12273500011</v>
      </c>
      <c r="Q22" s="24">
        <f t="shared" si="6"/>
        <v>4794359.1227350039</v>
      </c>
      <c r="R22" s="36">
        <f t="shared" si="7"/>
        <v>4794359.1227350039</v>
      </c>
      <c r="S22" s="24">
        <v>14107420.288951172</v>
      </c>
      <c r="T22" s="24">
        <f t="shared" si="8"/>
        <v>211611304.33426759</v>
      </c>
      <c r="U22" s="23">
        <f t="shared" si="9"/>
        <v>2.2656441430754994E-2</v>
      </c>
      <c r="V22" s="23">
        <f t="shared" si="10"/>
        <v>7.5521471435849984E-3</v>
      </c>
      <c r="W22" s="23">
        <f t="shared" si="11"/>
        <v>6.7969324292264974E-2</v>
      </c>
    </row>
    <row r="23" spans="1:23" ht="15" customHeight="1" x14ac:dyDescent="0.25">
      <c r="A23" s="19" t="s">
        <v>65</v>
      </c>
      <c r="B23" s="19" t="s">
        <v>66</v>
      </c>
      <c r="C23" s="19" t="s">
        <v>14</v>
      </c>
      <c r="D23" s="19" t="s">
        <v>32</v>
      </c>
      <c r="E23" s="19" t="s">
        <v>467</v>
      </c>
      <c r="F23" s="23">
        <v>68.964152792292879</v>
      </c>
      <c r="G23" s="24">
        <v>9509798</v>
      </c>
      <c r="H23" s="24">
        <v>15506762</v>
      </c>
      <c r="I23" s="19">
        <v>75.099999999999994</v>
      </c>
      <c r="J23" s="24">
        <f t="shared" si="0"/>
        <v>3861183.7380000018</v>
      </c>
      <c r="K23" s="36">
        <f t="shared" si="2"/>
        <v>3861183.7380000018</v>
      </c>
      <c r="L23" s="23">
        <v>64.824654622741761</v>
      </c>
      <c r="M23" s="24">
        <f t="shared" si="1"/>
        <v>250299902.25079712</v>
      </c>
      <c r="N23" s="19">
        <f t="shared" si="3"/>
        <v>1.8629999999999997E-2</v>
      </c>
      <c r="O23" s="24">
        <f t="shared" si="4"/>
        <v>4663087.1789323501</v>
      </c>
      <c r="P23" s="24">
        <f t="shared" si="5"/>
        <v>6994630.7683985252</v>
      </c>
      <c r="Q23" s="24">
        <f t="shared" si="6"/>
        <v>257294533.01919565</v>
      </c>
      <c r="R23" s="36">
        <f t="shared" si="7"/>
        <v>257294533.01919565</v>
      </c>
      <c r="S23" s="24">
        <v>358790876.29676551</v>
      </c>
      <c r="T23" s="24">
        <f t="shared" si="8"/>
        <v>5381863144.4514828</v>
      </c>
      <c r="U23" s="23">
        <f t="shared" si="9"/>
        <v>4.7807706385930217E-2</v>
      </c>
      <c r="V23" s="23">
        <f t="shared" si="10"/>
        <v>1.5935902128643407E-2</v>
      </c>
      <c r="W23" s="23">
        <f t="shared" si="11"/>
        <v>0.14342311915779066</v>
      </c>
    </row>
    <row r="24" spans="1:23" ht="15" customHeight="1" x14ac:dyDescent="0.25">
      <c r="A24" s="19" t="s">
        <v>67</v>
      </c>
      <c r="B24" s="19" t="s">
        <v>68</v>
      </c>
      <c r="C24" s="19" t="s">
        <v>29</v>
      </c>
      <c r="D24" s="19" t="s">
        <v>69</v>
      </c>
      <c r="E24" s="19" t="s">
        <v>232</v>
      </c>
      <c r="F24" s="23" t="s">
        <v>232</v>
      </c>
      <c r="G24" s="24">
        <v>65124</v>
      </c>
      <c r="H24" s="24">
        <v>66524</v>
      </c>
      <c r="I24" s="23" t="s">
        <v>232</v>
      </c>
      <c r="J24" s="24" t="e">
        <f t="shared" si="0"/>
        <v>#VALUE!</v>
      </c>
      <c r="K24" s="36">
        <f t="shared" si="2"/>
        <v>0</v>
      </c>
      <c r="L24" s="23" t="s">
        <v>232</v>
      </c>
      <c r="M24" s="24" t="e">
        <f t="shared" si="1"/>
        <v>#VALUE!</v>
      </c>
      <c r="N24" s="19" t="e">
        <f t="shared" si="3"/>
        <v>#VALUE!</v>
      </c>
      <c r="O24" s="24" t="e">
        <f t="shared" si="4"/>
        <v>#VALUE!</v>
      </c>
      <c r="P24" s="24" t="e">
        <f t="shared" si="5"/>
        <v>#VALUE!</v>
      </c>
      <c r="Q24" s="24" t="e">
        <f t="shared" si="6"/>
        <v>#VALUE!</v>
      </c>
      <c r="R24" s="36">
        <f t="shared" si="7"/>
        <v>0</v>
      </c>
      <c r="S24" s="24">
        <v>0</v>
      </c>
      <c r="T24" s="24">
        <f t="shared" si="8"/>
        <v>0</v>
      </c>
      <c r="U24" s="23" t="e">
        <f t="shared" si="9"/>
        <v>#VALUE!</v>
      </c>
      <c r="V24" s="23" t="e">
        <f t="shared" si="10"/>
        <v>#VALUE!</v>
      </c>
      <c r="W24" s="23" t="e">
        <f t="shared" si="11"/>
        <v>#VALUE!</v>
      </c>
    </row>
    <row r="25" spans="1:23" ht="15" customHeight="1" x14ac:dyDescent="0.25">
      <c r="A25" s="19" t="s">
        <v>70</v>
      </c>
      <c r="B25" s="19" t="s">
        <v>71</v>
      </c>
      <c r="C25" s="19" t="s">
        <v>40</v>
      </c>
      <c r="D25" s="19" t="s">
        <v>15</v>
      </c>
      <c r="E25" s="19" t="s">
        <v>465</v>
      </c>
      <c r="F25" s="23">
        <v>25.998990717254753</v>
      </c>
      <c r="G25" s="24">
        <v>716939</v>
      </c>
      <c r="H25" s="24">
        <v>897761</v>
      </c>
      <c r="I25" s="19">
        <v>96.2</v>
      </c>
      <c r="J25" s="24">
        <f t="shared" si="0"/>
        <v>34114.917999999932</v>
      </c>
      <c r="K25" s="36">
        <f t="shared" si="2"/>
        <v>34114.917999999932</v>
      </c>
      <c r="L25" s="23">
        <v>56.81818181818182</v>
      </c>
      <c r="M25" s="24">
        <f t="shared" si="1"/>
        <v>1938347.6136363598</v>
      </c>
      <c r="N25" s="19">
        <f t="shared" si="3"/>
        <v>1.8630000000000001E-2</v>
      </c>
      <c r="O25" s="24">
        <f t="shared" si="4"/>
        <v>36111.416042045385</v>
      </c>
      <c r="P25" s="24">
        <f t="shared" si="5"/>
        <v>54167.124063068077</v>
      </c>
      <c r="Q25" s="24">
        <f t="shared" si="6"/>
        <v>1992514.7376994279</v>
      </c>
      <c r="R25" s="36">
        <f t="shared" si="7"/>
        <v>1992514.7376994279</v>
      </c>
      <c r="S25" s="24">
        <v>384755041.17597884</v>
      </c>
      <c r="T25" s="24">
        <f t="shared" si="8"/>
        <v>5771325617.6396828</v>
      </c>
      <c r="U25" s="23">
        <f t="shared" si="9"/>
        <v>3.4524386071883308E-4</v>
      </c>
      <c r="V25" s="23">
        <f t="shared" si="10"/>
        <v>1.1508128690627768E-4</v>
      </c>
      <c r="W25" s="23">
        <f t="shared" si="11"/>
        <v>1.0357315821564992E-3</v>
      </c>
    </row>
    <row r="26" spans="1:23" ht="15" customHeight="1" x14ac:dyDescent="0.25">
      <c r="A26" s="19" t="s">
        <v>72</v>
      </c>
      <c r="B26" s="19" t="s">
        <v>73</v>
      </c>
      <c r="C26" s="19" t="s">
        <v>40</v>
      </c>
      <c r="D26" s="19" t="s">
        <v>35</v>
      </c>
      <c r="E26" s="19" t="s">
        <v>468</v>
      </c>
      <c r="F26" s="23">
        <v>457.1136934673367</v>
      </c>
      <c r="G26" s="24">
        <v>10156601</v>
      </c>
      <c r="H26" s="24">
        <v>13665316</v>
      </c>
      <c r="I26" s="19">
        <v>87.3</v>
      </c>
      <c r="J26" s="24">
        <f t="shared" si="0"/>
        <v>1735495.132</v>
      </c>
      <c r="K26" s="36">
        <f t="shared" si="2"/>
        <v>1735495.132</v>
      </c>
      <c r="L26" s="23">
        <v>205.0412021328163</v>
      </c>
      <c r="M26" s="24">
        <f t="shared" si="1"/>
        <v>355848008.16093069</v>
      </c>
      <c r="N26" s="19">
        <f t="shared" si="3"/>
        <v>1.8630000000000001E-2</v>
      </c>
      <c r="O26" s="24">
        <f t="shared" si="4"/>
        <v>6629448.3920381395</v>
      </c>
      <c r="P26" s="24">
        <f t="shared" si="5"/>
        <v>9944172.5880572088</v>
      </c>
      <c r="Q26" s="24">
        <f t="shared" si="6"/>
        <v>365792180.74898791</v>
      </c>
      <c r="R26" s="36">
        <f t="shared" si="7"/>
        <v>365792180.74898791</v>
      </c>
      <c r="S26" s="24">
        <v>3943593093.8863621</v>
      </c>
      <c r="T26" s="24">
        <f t="shared" si="8"/>
        <v>59153896408.295433</v>
      </c>
      <c r="U26" s="23">
        <f t="shared" si="9"/>
        <v>6.1837377241254921E-3</v>
      </c>
      <c r="V26" s="23">
        <f t="shared" si="10"/>
        <v>2.0612459080418307E-3</v>
      </c>
      <c r="W26" s="23">
        <f t="shared" si="11"/>
        <v>1.8551213172376475E-2</v>
      </c>
    </row>
    <row r="27" spans="1:23" ht="15" customHeight="1" x14ac:dyDescent="0.25">
      <c r="A27" s="19" t="s">
        <v>74</v>
      </c>
      <c r="B27" s="19" t="s">
        <v>75</v>
      </c>
      <c r="C27" s="19" t="s">
        <v>18</v>
      </c>
      <c r="D27" s="19" t="s">
        <v>19</v>
      </c>
      <c r="E27" s="19" t="s">
        <v>232</v>
      </c>
      <c r="F27" s="23" t="s">
        <v>232</v>
      </c>
      <c r="G27" s="24">
        <v>3845929</v>
      </c>
      <c r="H27" s="24">
        <v>3700255</v>
      </c>
      <c r="I27" s="19">
        <v>99.2</v>
      </c>
      <c r="J27" s="24">
        <f t="shared" si="0"/>
        <v>29602.040000000026</v>
      </c>
      <c r="K27" s="36">
        <f t="shared" si="2"/>
        <v>29602.040000000026</v>
      </c>
      <c r="L27" s="23" t="s">
        <v>232</v>
      </c>
      <c r="M27" s="24" t="e">
        <f t="shared" si="1"/>
        <v>#VALUE!</v>
      </c>
      <c r="N27" s="19" t="e">
        <f t="shared" si="3"/>
        <v>#VALUE!</v>
      </c>
      <c r="O27" s="24" t="e">
        <f t="shared" si="4"/>
        <v>#VALUE!</v>
      </c>
      <c r="P27" s="24" t="e">
        <f t="shared" si="5"/>
        <v>#VALUE!</v>
      </c>
      <c r="Q27" s="24" t="e">
        <f t="shared" si="6"/>
        <v>#VALUE!</v>
      </c>
      <c r="R27" s="36">
        <f t="shared" si="7"/>
        <v>0</v>
      </c>
      <c r="S27" s="24">
        <v>595625627.44246328</v>
      </c>
      <c r="T27" s="24">
        <f t="shared" si="8"/>
        <v>8934384411.6369495</v>
      </c>
      <c r="U27" s="23" t="e">
        <f t="shared" si="9"/>
        <v>#VALUE!</v>
      </c>
      <c r="V27" s="23" t="e">
        <f t="shared" si="10"/>
        <v>#VALUE!</v>
      </c>
      <c r="W27" s="23" t="e">
        <f t="shared" si="11"/>
        <v>#VALUE!</v>
      </c>
    </row>
    <row r="28" spans="1:23" ht="15" customHeight="1" x14ac:dyDescent="0.25">
      <c r="A28" s="19" t="s">
        <v>76</v>
      </c>
      <c r="B28" s="19" t="s">
        <v>77</v>
      </c>
      <c r="C28" s="19" t="s">
        <v>18</v>
      </c>
      <c r="D28" s="19" t="s">
        <v>32</v>
      </c>
      <c r="E28" s="19" t="s">
        <v>467</v>
      </c>
      <c r="F28" s="23">
        <v>68.964152792292879</v>
      </c>
      <c r="G28" s="24">
        <v>1969341</v>
      </c>
      <c r="H28" s="24">
        <v>2347860</v>
      </c>
      <c r="I28" s="19">
        <v>96.8</v>
      </c>
      <c r="J28" s="24">
        <f t="shared" si="0"/>
        <v>75131.520000000062</v>
      </c>
      <c r="K28" s="36">
        <f t="shared" si="2"/>
        <v>75131.520000000062</v>
      </c>
      <c r="L28" s="23">
        <v>465.34653465346537</v>
      </c>
      <c r="M28" s="24">
        <f t="shared" si="1"/>
        <v>34962192.475247554</v>
      </c>
      <c r="N28" s="19">
        <f t="shared" si="3"/>
        <v>1.8630000000000001E-2</v>
      </c>
      <c r="O28" s="24">
        <f t="shared" si="4"/>
        <v>651345.64581386198</v>
      </c>
      <c r="P28" s="24">
        <f t="shared" si="5"/>
        <v>977018.46872079303</v>
      </c>
      <c r="Q28" s="24">
        <f t="shared" si="6"/>
        <v>35939210.943968348</v>
      </c>
      <c r="R28" s="36">
        <f t="shared" si="7"/>
        <v>35939210.943968348</v>
      </c>
      <c r="S28" s="24">
        <v>686157389.38852191</v>
      </c>
      <c r="T28" s="24">
        <f t="shared" si="8"/>
        <v>10292360840.827829</v>
      </c>
      <c r="U28" s="23">
        <f t="shared" si="9"/>
        <v>3.4918335549803466E-3</v>
      </c>
      <c r="V28" s="23">
        <f t="shared" si="10"/>
        <v>1.1639445183267822E-3</v>
      </c>
      <c r="W28" s="23">
        <f t="shared" si="11"/>
        <v>1.0475500664941038E-2</v>
      </c>
    </row>
    <row r="29" spans="1:23" ht="15" customHeight="1" x14ac:dyDescent="0.25">
      <c r="A29" s="19" t="s">
        <v>78</v>
      </c>
      <c r="B29" s="19" t="s">
        <v>79</v>
      </c>
      <c r="C29" s="19" t="s">
        <v>18</v>
      </c>
      <c r="D29" s="19" t="s">
        <v>35</v>
      </c>
      <c r="E29" s="19" t="s">
        <v>468</v>
      </c>
      <c r="F29" s="23">
        <v>457.1136934673367</v>
      </c>
      <c r="G29" s="24">
        <v>195210154</v>
      </c>
      <c r="H29" s="24">
        <v>222748294</v>
      </c>
      <c r="I29" s="19">
        <v>96.9</v>
      </c>
      <c r="J29" s="24">
        <f t="shared" si="0"/>
        <v>6905197.1139999814</v>
      </c>
      <c r="K29" s="36">
        <f t="shared" si="2"/>
        <v>6905197.1139999814</v>
      </c>
      <c r="L29" s="23">
        <v>607.23378105521908</v>
      </c>
      <c r="M29" s="24">
        <f t="shared" si="1"/>
        <v>4193068952.4657955</v>
      </c>
      <c r="N29" s="19">
        <f t="shared" si="3"/>
        <v>1.8630000000000001E-2</v>
      </c>
      <c r="O29" s="24">
        <f t="shared" si="4"/>
        <v>78116874.584437773</v>
      </c>
      <c r="P29" s="24">
        <f t="shared" si="5"/>
        <v>117175311.87665667</v>
      </c>
      <c r="Q29" s="24">
        <f t="shared" si="6"/>
        <v>4310244264.342452</v>
      </c>
      <c r="R29" s="36">
        <f t="shared" si="7"/>
        <v>4310244264.342452</v>
      </c>
      <c r="S29" s="24">
        <v>131651047125.59688</v>
      </c>
      <c r="T29" s="24">
        <f t="shared" si="8"/>
        <v>1974765706883.9531</v>
      </c>
      <c r="U29" s="23">
        <f t="shared" si="9"/>
        <v>2.1826610869923025E-3</v>
      </c>
      <c r="V29" s="23">
        <f t="shared" si="10"/>
        <v>7.275536956641009E-4</v>
      </c>
      <c r="W29" s="23">
        <f t="shared" si="11"/>
        <v>6.5479832609769079E-3</v>
      </c>
    </row>
    <row r="30" spans="1:23" ht="15" customHeight="1" x14ac:dyDescent="0.25">
      <c r="A30" s="19" t="s">
        <v>80</v>
      </c>
      <c r="B30" s="19" t="s">
        <v>81</v>
      </c>
      <c r="C30" s="19" t="s">
        <v>29</v>
      </c>
      <c r="D30" s="19" t="s">
        <v>26</v>
      </c>
      <c r="E30" s="19" t="s">
        <v>232</v>
      </c>
      <c r="F30" s="23" t="s">
        <v>232</v>
      </c>
      <c r="G30" s="24">
        <v>400569</v>
      </c>
      <c r="H30" s="24">
        <v>499424</v>
      </c>
      <c r="I30" s="23" t="s">
        <v>232</v>
      </c>
      <c r="J30" s="24" t="e">
        <f t="shared" si="0"/>
        <v>#VALUE!</v>
      </c>
      <c r="K30" s="36">
        <f t="shared" si="2"/>
        <v>0</v>
      </c>
      <c r="L30" s="23" t="s">
        <v>232</v>
      </c>
      <c r="M30" s="24" t="e">
        <f t="shared" si="1"/>
        <v>#VALUE!</v>
      </c>
      <c r="N30" s="19" t="e">
        <f t="shared" si="3"/>
        <v>#VALUE!</v>
      </c>
      <c r="O30" s="24" t="e">
        <f t="shared" si="4"/>
        <v>#VALUE!</v>
      </c>
      <c r="P30" s="24" t="e">
        <f t="shared" si="5"/>
        <v>#VALUE!</v>
      </c>
      <c r="Q30" s="24" t="e">
        <f t="shared" si="6"/>
        <v>#VALUE!</v>
      </c>
      <c r="R30" s="36">
        <f t="shared" si="7"/>
        <v>0</v>
      </c>
      <c r="S30" s="24">
        <v>5618749657.8090668</v>
      </c>
      <c r="T30" s="24">
        <f t="shared" si="8"/>
        <v>84281244867.136002</v>
      </c>
      <c r="U30" s="23" t="e">
        <f t="shared" si="9"/>
        <v>#VALUE!</v>
      </c>
      <c r="V30" s="23" t="e">
        <f t="shared" si="10"/>
        <v>#VALUE!</v>
      </c>
      <c r="W30" s="23" t="e">
        <f t="shared" si="11"/>
        <v>#VALUE!</v>
      </c>
    </row>
    <row r="31" spans="1:23" ht="15" customHeight="1" x14ac:dyDescent="0.25">
      <c r="A31" s="19" t="s">
        <v>82</v>
      </c>
      <c r="B31" s="19" t="s">
        <v>83</v>
      </c>
      <c r="C31" s="19" t="s">
        <v>18</v>
      </c>
      <c r="D31" s="19" t="s">
        <v>19</v>
      </c>
      <c r="E31" s="19" t="s">
        <v>232</v>
      </c>
      <c r="F31" s="23" t="s">
        <v>232</v>
      </c>
      <c r="G31" s="24">
        <v>7395599</v>
      </c>
      <c r="H31" s="24">
        <v>6213179</v>
      </c>
      <c r="I31" s="19">
        <v>99.5</v>
      </c>
      <c r="J31" s="24">
        <f t="shared" si="0"/>
        <v>31065.895000000026</v>
      </c>
      <c r="K31" s="36">
        <f t="shared" si="2"/>
        <v>31065.895000000026</v>
      </c>
      <c r="L31" s="23" t="s">
        <v>232</v>
      </c>
      <c r="M31" s="24" t="e">
        <f t="shared" si="1"/>
        <v>#VALUE!</v>
      </c>
      <c r="N31" s="19" t="e">
        <f t="shared" si="3"/>
        <v>#VALUE!</v>
      </c>
      <c r="O31" s="24" t="e">
        <f t="shared" si="4"/>
        <v>#VALUE!</v>
      </c>
      <c r="P31" s="24" t="e">
        <f t="shared" si="5"/>
        <v>#VALUE!</v>
      </c>
      <c r="Q31" s="24" t="e">
        <f t="shared" si="6"/>
        <v>#VALUE!</v>
      </c>
      <c r="R31" s="36">
        <f t="shared" si="7"/>
        <v>0</v>
      </c>
      <c r="S31" s="24">
        <v>1236205124.2998753</v>
      </c>
      <c r="T31" s="24">
        <f t="shared" si="8"/>
        <v>18543076864.498131</v>
      </c>
      <c r="U31" s="23" t="e">
        <f t="shared" si="9"/>
        <v>#VALUE!</v>
      </c>
      <c r="V31" s="23" t="e">
        <f t="shared" si="10"/>
        <v>#VALUE!</v>
      </c>
      <c r="W31" s="23" t="e">
        <f t="shared" si="11"/>
        <v>#VALUE!</v>
      </c>
    </row>
    <row r="32" spans="1:23" ht="15" customHeight="1" x14ac:dyDescent="0.25">
      <c r="A32" s="19" t="s">
        <v>84</v>
      </c>
      <c r="B32" s="19" t="s">
        <v>85</v>
      </c>
      <c r="C32" s="19" t="s">
        <v>14</v>
      </c>
      <c r="D32" s="19" t="s">
        <v>32</v>
      </c>
      <c r="E32" s="19" t="s">
        <v>467</v>
      </c>
      <c r="F32" s="23">
        <v>68.964152792292879</v>
      </c>
      <c r="G32" s="24">
        <v>15540284</v>
      </c>
      <c r="H32" s="24">
        <v>26564341</v>
      </c>
      <c r="I32" s="19">
        <v>78.2</v>
      </c>
      <c r="J32" s="24">
        <f t="shared" si="0"/>
        <v>5791026.3379999995</v>
      </c>
      <c r="K32" s="36">
        <f t="shared" si="2"/>
        <v>5791026.3379999995</v>
      </c>
      <c r="L32" s="23">
        <v>32.750040134853108</v>
      </c>
      <c r="M32" s="24">
        <f t="shared" si="1"/>
        <v>189656344.99149141</v>
      </c>
      <c r="N32" s="19">
        <f t="shared" si="3"/>
        <v>1.8630000000000001E-2</v>
      </c>
      <c r="O32" s="24">
        <f t="shared" si="4"/>
        <v>3533297.707191485</v>
      </c>
      <c r="P32" s="24">
        <f t="shared" si="5"/>
        <v>5299946.5607872279</v>
      </c>
      <c r="Q32" s="24">
        <f t="shared" si="6"/>
        <v>194956291.55227864</v>
      </c>
      <c r="R32" s="36">
        <f t="shared" si="7"/>
        <v>194956291.55227864</v>
      </c>
      <c r="S32" s="24">
        <v>1409883719.9157445</v>
      </c>
      <c r="T32" s="24">
        <f t="shared" si="8"/>
        <v>21148255798.736168</v>
      </c>
      <c r="U32" s="23">
        <f t="shared" si="9"/>
        <v>9.2185517996207205E-3</v>
      </c>
      <c r="V32" s="23">
        <f t="shared" si="10"/>
        <v>3.0728505998735734E-3</v>
      </c>
      <c r="W32" s="23">
        <f t="shared" si="11"/>
        <v>2.765565539886216E-2</v>
      </c>
    </row>
    <row r="33" spans="1:23" ht="15" customHeight="1" x14ac:dyDescent="0.25">
      <c r="A33" s="19" t="s">
        <v>86</v>
      </c>
      <c r="B33" s="19" t="s">
        <v>87</v>
      </c>
      <c r="C33" s="19" t="s">
        <v>14</v>
      </c>
      <c r="D33" s="19" t="s">
        <v>32</v>
      </c>
      <c r="E33" s="19" t="s">
        <v>467</v>
      </c>
      <c r="F33" s="23">
        <v>68.964152792292879</v>
      </c>
      <c r="G33" s="24">
        <v>9232753</v>
      </c>
      <c r="H33" s="24">
        <v>16392402.999999998</v>
      </c>
      <c r="I33" s="19">
        <v>74.7</v>
      </c>
      <c r="J33" s="24">
        <f t="shared" si="0"/>
        <v>4147277.9589999998</v>
      </c>
      <c r="K33" s="36">
        <f t="shared" si="2"/>
        <v>4147277.9589999998</v>
      </c>
      <c r="L33" s="23">
        <v>51.029818628957884</v>
      </c>
      <c r="M33" s="24">
        <f t="shared" si="1"/>
        <v>211634842.05164462</v>
      </c>
      <c r="N33" s="19">
        <f t="shared" si="3"/>
        <v>1.8630000000000001E-2</v>
      </c>
      <c r="O33" s="24">
        <f t="shared" si="4"/>
        <v>3942757.1074221395</v>
      </c>
      <c r="P33" s="24">
        <f t="shared" si="5"/>
        <v>5914135.6611332092</v>
      </c>
      <c r="Q33" s="24">
        <f t="shared" si="6"/>
        <v>217548977.71277782</v>
      </c>
      <c r="R33" s="36">
        <f t="shared" si="7"/>
        <v>217548977.71277782</v>
      </c>
      <c r="S33" s="24">
        <v>551752484.64932442</v>
      </c>
      <c r="T33" s="24">
        <f t="shared" si="8"/>
        <v>8276287269.7398663</v>
      </c>
      <c r="U33" s="23">
        <f t="shared" si="9"/>
        <v>2.6285817616335066E-2</v>
      </c>
      <c r="V33" s="23">
        <f t="shared" si="10"/>
        <v>8.7619392054450219E-3</v>
      </c>
      <c r="W33" s="23">
        <f t="shared" si="11"/>
        <v>7.8857452849005194E-2</v>
      </c>
    </row>
    <row r="34" spans="1:23" ht="15" customHeight="1" x14ac:dyDescent="0.25">
      <c r="A34" s="19" t="s">
        <v>88</v>
      </c>
      <c r="B34" s="19" t="s">
        <v>89</v>
      </c>
      <c r="C34" s="19" t="s">
        <v>40</v>
      </c>
      <c r="D34" s="19" t="s">
        <v>32</v>
      </c>
      <c r="E34" s="19" t="s">
        <v>467</v>
      </c>
      <c r="F34" s="23">
        <v>68.964152792292879</v>
      </c>
      <c r="G34" s="24">
        <v>487601</v>
      </c>
      <c r="H34" s="24">
        <v>576734</v>
      </c>
      <c r="I34" s="19">
        <v>88.2</v>
      </c>
      <c r="J34" s="24">
        <f t="shared" si="0"/>
        <v>68054.611999999994</v>
      </c>
      <c r="K34" s="36">
        <f t="shared" si="2"/>
        <v>68054.611999999994</v>
      </c>
      <c r="L34" s="23">
        <v>68.964152792292879</v>
      </c>
      <c r="M34" s="24">
        <f t="shared" si="1"/>
        <v>4693328.6601882083</v>
      </c>
      <c r="N34" s="19">
        <f t="shared" si="3"/>
        <v>1.8630000000000001E-2</v>
      </c>
      <c r="O34" s="24">
        <f t="shared" si="4"/>
        <v>87436.712939306322</v>
      </c>
      <c r="P34" s="24">
        <f t="shared" si="5"/>
        <v>131155.06940895948</v>
      </c>
      <c r="Q34" s="24">
        <f t="shared" si="6"/>
        <v>4824483.729597168</v>
      </c>
      <c r="R34" s="36">
        <f t="shared" si="7"/>
        <v>4824483.729597168</v>
      </c>
      <c r="S34" s="24">
        <v>9544520.9551698435</v>
      </c>
      <c r="T34" s="24">
        <f t="shared" si="8"/>
        <v>143167814.32754764</v>
      </c>
      <c r="U34" s="23">
        <f t="shared" si="9"/>
        <v>3.3698102833081139E-2</v>
      </c>
      <c r="V34" s="23">
        <f t="shared" si="10"/>
        <v>1.1232700944360382E-2</v>
      </c>
      <c r="W34" s="23">
        <f t="shared" si="11"/>
        <v>0.10109430849924343</v>
      </c>
    </row>
    <row r="35" spans="1:23" ht="15" customHeight="1" x14ac:dyDescent="0.25">
      <c r="A35" s="19" t="s">
        <v>90</v>
      </c>
      <c r="B35" s="19" t="s">
        <v>91</v>
      </c>
      <c r="C35" s="19" t="s">
        <v>14</v>
      </c>
      <c r="D35" s="19" t="s">
        <v>26</v>
      </c>
      <c r="E35" s="19" t="s">
        <v>471</v>
      </c>
      <c r="F35" s="23">
        <v>286.39139284675775</v>
      </c>
      <c r="G35" s="24">
        <v>14364931</v>
      </c>
      <c r="H35" s="24">
        <v>19143612</v>
      </c>
      <c r="I35" s="19">
        <v>66.3</v>
      </c>
      <c r="J35" s="24">
        <f t="shared" si="0"/>
        <v>6451397.2440000018</v>
      </c>
      <c r="K35" s="36">
        <f t="shared" si="2"/>
        <v>6451397.2440000018</v>
      </c>
      <c r="L35" s="23">
        <v>210.04221954161642</v>
      </c>
      <c r="M35" s="24">
        <f t="shared" si="1"/>
        <v>1355065796.2744274</v>
      </c>
      <c r="N35" s="19">
        <f t="shared" si="3"/>
        <v>1.8630000000000001E-2</v>
      </c>
      <c r="O35" s="24">
        <f t="shared" si="4"/>
        <v>25244875.784592584</v>
      </c>
      <c r="P35" s="24">
        <f t="shared" si="5"/>
        <v>37867313.676888876</v>
      </c>
      <c r="Q35" s="24">
        <f t="shared" si="6"/>
        <v>1392933109.9513164</v>
      </c>
      <c r="R35" s="36">
        <f t="shared" si="7"/>
        <v>1392933109.9513164</v>
      </c>
      <c r="S35" s="24">
        <v>433167180.30280077</v>
      </c>
      <c r="T35" s="24">
        <f t="shared" si="8"/>
        <v>6497507704.5420113</v>
      </c>
      <c r="U35" s="23">
        <f t="shared" si="9"/>
        <v>0.21437960111653301</v>
      </c>
      <c r="V35" s="23">
        <f t="shared" si="10"/>
        <v>7.1459867038844341E-2</v>
      </c>
      <c r="W35" s="23">
        <f t="shared" si="11"/>
        <v>0.64313880334959905</v>
      </c>
    </row>
    <row r="36" spans="1:23" ht="15" customHeight="1" x14ac:dyDescent="0.25">
      <c r="A36" s="19" t="s">
        <v>92</v>
      </c>
      <c r="B36" s="19" t="s">
        <v>93</v>
      </c>
      <c r="C36" s="19" t="s">
        <v>40</v>
      </c>
      <c r="D36" s="19" t="s">
        <v>32</v>
      </c>
      <c r="E36" s="19" t="s">
        <v>467</v>
      </c>
      <c r="F36" s="23">
        <v>68.964152792292879</v>
      </c>
      <c r="G36" s="24">
        <v>20624343</v>
      </c>
      <c r="H36" s="24">
        <v>33074214.999999996</v>
      </c>
      <c r="I36" s="19">
        <v>72.099999999999994</v>
      </c>
      <c r="J36" s="24">
        <f t="shared" si="0"/>
        <v>9227705.9849999994</v>
      </c>
      <c r="K36" s="36">
        <f t="shared" si="2"/>
        <v>9227705.9849999994</v>
      </c>
      <c r="L36" s="23">
        <v>51.039976397698773</v>
      </c>
      <c r="M36" s="24">
        <f t="shared" si="1"/>
        <v>470981895.67930365</v>
      </c>
      <c r="N36" s="19">
        <f t="shared" si="3"/>
        <v>1.8630000000000001E-2</v>
      </c>
      <c r="O36" s="24">
        <f t="shared" si="4"/>
        <v>8774392.7165054269</v>
      </c>
      <c r="P36" s="24">
        <f t="shared" si="5"/>
        <v>13161589.07475814</v>
      </c>
      <c r="Q36" s="24">
        <f t="shared" si="6"/>
        <v>484143484.75406176</v>
      </c>
      <c r="R36" s="36">
        <f t="shared" si="7"/>
        <v>484143484.75406176</v>
      </c>
      <c r="S36" s="24">
        <v>2416929494.6420951</v>
      </c>
      <c r="T36" s="24">
        <f t="shared" si="8"/>
        <v>36253942419.631424</v>
      </c>
      <c r="U36" s="23">
        <f t="shared" si="9"/>
        <v>1.3354229980017269E-2</v>
      </c>
      <c r="V36" s="23">
        <f t="shared" si="10"/>
        <v>4.4514099933390897E-3</v>
      </c>
      <c r="W36" s="23">
        <f t="shared" si="11"/>
        <v>4.0062689940051806E-2</v>
      </c>
    </row>
    <row r="37" spans="1:23" ht="15" customHeight="1" x14ac:dyDescent="0.25">
      <c r="A37" s="19" t="s">
        <v>94</v>
      </c>
      <c r="B37" s="19" t="s">
        <v>95</v>
      </c>
      <c r="C37" s="19" t="s">
        <v>45</v>
      </c>
      <c r="D37" s="19" t="s">
        <v>69</v>
      </c>
      <c r="E37" s="19" t="s">
        <v>232</v>
      </c>
      <c r="F37" s="23" t="s">
        <v>232</v>
      </c>
      <c r="G37" s="24">
        <v>34005274</v>
      </c>
      <c r="H37" s="24">
        <v>40616997</v>
      </c>
      <c r="I37" s="19">
        <v>99.8</v>
      </c>
      <c r="J37" s="24">
        <f t="shared" si="0"/>
        <v>81233.994000000079</v>
      </c>
      <c r="K37" s="36">
        <f t="shared" si="2"/>
        <v>81233.994000000079</v>
      </c>
      <c r="L37" s="23" t="s">
        <v>232</v>
      </c>
      <c r="M37" s="24" t="e">
        <f t="shared" si="1"/>
        <v>#VALUE!</v>
      </c>
      <c r="N37" s="19" t="e">
        <f t="shared" si="3"/>
        <v>#VALUE!</v>
      </c>
      <c r="O37" s="24" t="e">
        <f t="shared" si="4"/>
        <v>#VALUE!</v>
      </c>
      <c r="P37" s="24" t="e">
        <f t="shared" si="5"/>
        <v>#VALUE!</v>
      </c>
      <c r="Q37" s="24" t="e">
        <f t="shared" si="6"/>
        <v>#VALUE!</v>
      </c>
      <c r="R37" s="36">
        <f t="shared" si="7"/>
        <v>0</v>
      </c>
      <c r="S37" s="24">
        <v>66550602359.385544</v>
      </c>
      <c r="T37" s="24">
        <f t="shared" si="8"/>
        <v>998259035390.7832</v>
      </c>
      <c r="U37" s="23" t="e">
        <f t="shared" si="9"/>
        <v>#VALUE!</v>
      </c>
      <c r="V37" s="23" t="e">
        <f t="shared" si="10"/>
        <v>#VALUE!</v>
      </c>
      <c r="W37" s="23" t="e">
        <f t="shared" si="11"/>
        <v>#VALUE!</v>
      </c>
    </row>
    <row r="38" spans="1:23" ht="15" customHeight="1" x14ac:dyDescent="0.25">
      <c r="A38" s="19" t="s">
        <v>96</v>
      </c>
      <c r="B38" s="19" t="s">
        <v>97</v>
      </c>
      <c r="C38" s="19" t="s">
        <v>29</v>
      </c>
      <c r="D38" s="19" t="s">
        <v>35</v>
      </c>
      <c r="E38" s="19" t="s">
        <v>468</v>
      </c>
      <c r="F38" s="23">
        <v>457.1136934673367</v>
      </c>
      <c r="G38" s="24">
        <v>55509</v>
      </c>
      <c r="H38" s="24">
        <v>66552</v>
      </c>
      <c r="I38" s="19">
        <v>95.6</v>
      </c>
      <c r="J38" s="24">
        <f t="shared" si="0"/>
        <v>2928.2880000000027</v>
      </c>
      <c r="K38" s="36">
        <f t="shared" si="2"/>
        <v>2928.2880000000027</v>
      </c>
      <c r="L38" s="23">
        <v>457.1136934673367</v>
      </c>
      <c r="M38" s="24">
        <f t="shared" si="1"/>
        <v>1338560.5432160818</v>
      </c>
      <c r="N38" s="19">
        <f t="shared" si="3"/>
        <v>1.8630000000000001E-2</v>
      </c>
      <c r="O38" s="24">
        <f t="shared" si="4"/>
        <v>24937.382920115604</v>
      </c>
      <c r="P38" s="24">
        <f t="shared" si="5"/>
        <v>37406.074380173406</v>
      </c>
      <c r="Q38" s="24">
        <f t="shared" si="6"/>
        <v>1375966.6175962551</v>
      </c>
      <c r="R38" s="36">
        <f t="shared" si="7"/>
        <v>1375966.6175962551</v>
      </c>
      <c r="S38" s="23" t="s">
        <v>232</v>
      </c>
      <c r="T38" s="24" t="e">
        <f t="shared" si="8"/>
        <v>#VALUE!</v>
      </c>
      <c r="U38" s="23" t="e">
        <f t="shared" si="9"/>
        <v>#VALUE!</v>
      </c>
      <c r="V38" s="23" t="e">
        <f t="shared" si="10"/>
        <v>#VALUE!</v>
      </c>
      <c r="W38" s="23" t="e">
        <f t="shared" si="11"/>
        <v>#VALUE!</v>
      </c>
    </row>
    <row r="39" spans="1:23" ht="15" customHeight="1" x14ac:dyDescent="0.25">
      <c r="A39" s="19" t="s">
        <v>98</v>
      </c>
      <c r="B39" s="19" t="s">
        <v>99</v>
      </c>
      <c r="C39" s="19" t="s">
        <v>14</v>
      </c>
      <c r="D39" s="19" t="s">
        <v>32</v>
      </c>
      <c r="E39" s="19" t="s">
        <v>467</v>
      </c>
      <c r="F39" s="23">
        <v>68.964152792292879</v>
      </c>
      <c r="G39" s="24">
        <v>4349921</v>
      </c>
      <c r="H39" s="24">
        <v>6318381</v>
      </c>
      <c r="I39" s="19">
        <v>67.2</v>
      </c>
      <c r="J39" s="24">
        <f t="shared" si="0"/>
        <v>2072428.9679999996</v>
      </c>
      <c r="K39" s="36">
        <f t="shared" si="2"/>
        <v>2072428.9679999996</v>
      </c>
      <c r="L39" s="23">
        <v>68.964152792292879</v>
      </c>
      <c r="M39" s="24">
        <f t="shared" si="1"/>
        <v>142923308.00032583</v>
      </c>
      <c r="N39" s="19">
        <f t="shared" si="3"/>
        <v>1.8630000000000001E-2</v>
      </c>
      <c r="O39" s="24">
        <f t="shared" si="4"/>
        <v>2662661.2280460703</v>
      </c>
      <c r="P39" s="24">
        <f t="shared" si="5"/>
        <v>3993991.8420691052</v>
      </c>
      <c r="Q39" s="24">
        <f t="shared" si="6"/>
        <v>146917299.84239495</v>
      </c>
      <c r="R39" s="36">
        <f t="shared" si="7"/>
        <v>146917299.84239495</v>
      </c>
      <c r="S39" s="24">
        <v>165997754.82625589</v>
      </c>
      <c r="T39" s="24">
        <f t="shared" si="8"/>
        <v>2489966322.3938384</v>
      </c>
      <c r="U39" s="23">
        <f t="shared" si="9"/>
        <v>5.9003729697496295E-2</v>
      </c>
      <c r="V39" s="23">
        <f t="shared" si="10"/>
        <v>1.966790989916543E-2</v>
      </c>
      <c r="W39" s="23">
        <f t="shared" si="11"/>
        <v>0.17701118909248886</v>
      </c>
    </row>
    <row r="40" spans="1:23" ht="15" customHeight="1" x14ac:dyDescent="0.25">
      <c r="A40" s="19" t="s">
        <v>100</v>
      </c>
      <c r="B40" s="19" t="s">
        <v>101</v>
      </c>
      <c r="C40" s="19" t="s">
        <v>14</v>
      </c>
      <c r="D40" s="19" t="s">
        <v>32</v>
      </c>
      <c r="E40" s="19" t="s">
        <v>467</v>
      </c>
      <c r="F40" s="23">
        <v>68.964152792292879</v>
      </c>
      <c r="G40" s="24">
        <v>11720781</v>
      </c>
      <c r="H40" s="24">
        <v>20877527</v>
      </c>
      <c r="I40" s="19">
        <v>49.7</v>
      </c>
      <c r="J40" s="24">
        <f t="shared" si="0"/>
        <v>10501396.080999998</v>
      </c>
      <c r="K40" s="36">
        <f t="shared" si="2"/>
        <v>10501396.080999998</v>
      </c>
      <c r="L40" s="23">
        <v>67.902088231226656</v>
      </c>
      <c r="M40" s="24">
        <f t="shared" si="1"/>
        <v>713066723.24311972</v>
      </c>
      <c r="N40" s="19">
        <f t="shared" si="3"/>
        <v>1.8630000000000001E-2</v>
      </c>
      <c r="O40" s="24">
        <f t="shared" si="4"/>
        <v>13284433.054019321</v>
      </c>
      <c r="P40" s="24">
        <f t="shared" si="5"/>
        <v>19926649.581028979</v>
      </c>
      <c r="Q40" s="24">
        <f t="shared" si="6"/>
        <v>732993372.82414865</v>
      </c>
      <c r="R40" s="36">
        <f t="shared" si="7"/>
        <v>732993372.82414865</v>
      </c>
      <c r="S40" s="24">
        <v>3554600897.019742</v>
      </c>
      <c r="T40" s="24">
        <f t="shared" si="8"/>
        <v>53319013455.296127</v>
      </c>
      <c r="U40" s="23">
        <f t="shared" si="9"/>
        <v>1.3747316863593265E-2</v>
      </c>
      <c r="V40" s="23">
        <f t="shared" si="10"/>
        <v>4.582438954531089E-3</v>
      </c>
      <c r="W40" s="23">
        <f t="shared" si="11"/>
        <v>4.1241950590779793E-2</v>
      </c>
    </row>
    <row r="41" spans="1:23" ht="15" customHeight="1" x14ac:dyDescent="0.25">
      <c r="A41" s="19" t="s">
        <v>102</v>
      </c>
      <c r="B41" s="19" t="s">
        <v>103</v>
      </c>
      <c r="C41" s="19" t="s">
        <v>29</v>
      </c>
      <c r="D41" s="19" t="s">
        <v>19</v>
      </c>
      <c r="E41" s="19" t="s">
        <v>232</v>
      </c>
      <c r="F41" s="23" t="s">
        <v>232</v>
      </c>
      <c r="G41" s="24">
        <v>159518</v>
      </c>
      <c r="H41" s="24">
        <v>173587</v>
      </c>
      <c r="I41" s="23" t="s">
        <v>232</v>
      </c>
      <c r="J41" s="24" t="e">
        <f t="shared" si="0"/>
        <v>#VALUE!</v>
      </c>
      <c r="K41" s="36">
        <f t="shared" si="2"/>
        <v>0</v>
      </c>
      <c r="L41" s="23" t="s">
        <v>232</v>
      </c>
      <c r="M41" s="24" t="e">
        <f t="shared" si="1"/>
        <v>#VALUE!</v>
      </c>
      <c r="N41" s="19" t="e">
        <f t="shared" si="3"/>
        <v>#VALUE!</v>
      </c>
      <c r="O41" s="24" t="e">
        <f t="shared" si="4"/>
        <v>#VALUE!</v>
      </c>
      <c r="P41" s="24" t="e">
        <f t="shared" si="5"/>
        <v>#VALUE!</v>
      </c>
      <c r="Q41" s="24" t="e">
        <f t="shared" si="6"/>
        <v>#VALUE!</v>
      </c>
      <c r="R41" s="36">
        <f t="shared" si="7"/>
        <v>0</v>
      </c>
      <c r="S41" s="23" t="s">
        <v>232</v>
      </c>
      <c r="T41" s="24" t="e">
        <f t="shared" si="8"/>
        <v>#VALUE!</v>
      </c>
      <c r="U41" s="23" t="e">
        <f t="shared" si="9"/>
        <v>#VALUE!</v>
      </c>
      <c r="V41" s="23" t="e">
        <f t="shared" si="10"/>
        <v>#VALUE!</v>
      </c>
      <c r="W41" s="23" t="e">
        <f t="shared" si="11"/>
        <v>#VALUE!</v>
      </c>
    </row>
    <row r="42" spans="1:23" ht="15" customHeight="1" x14ac:dyDescent="0.25">
      <c r="A42" s="19" t="s">
        <v>104</v>
      </c>
      <c r="B42" s="19" t="s">
        <v>105</v>
      </c>
      <c r="C42" s="19" t="s">
        <v>45</v>
      </c>
      <c r="D42" s="19" t="s">
        <v>35</v>
      </c>
      <c r="E42" s="19" t="s">
        <v>468</v>
      </c>
      <c r="F42" s="23">
        <v>457.1136934673367</v>
      </c>
      <c r="G42" s="24">
        <v>17150760</v>
      </c>
      <c r="H42" s="24">
        <v>19814578</v>
      </c>
      <c r="I42" s="19">
        <v>98.2</v>
      </c>
      <c r="J42" s="24">
        <f t="shared" si="0"/>
        <v>356662.40400000033</v>
      </c>
      <c r="K42" s="36">
        <f t="shared" si="2"/>
        <v>356662.40400000033</v>
      </c>
      <c r="L42" s="23">
        <v>513.05683563748084</v>
      </c>
      <c r="M42" s="24">
        <f t="shared" si="1"/>
        <v>182988084.38709697</v>
      </c>
      <c r="N42" s="19">
        <f t="shared" si="3"/>
        <v>1.8630000000000001E-2</v>
      </c>
      <c r="O42" s="24">
        <f t="shared" si="4"/>
        <v>3409068.0121316169</v>
      </c>
      <c r="P42" s="24">
        <f t="shared" si="5"/>
        <v>5113602.0181974247</v>
      </c>
      <c r="Q42" s="24">
        <f t="shared" si="6"/>
        <v>188101686.40529439</v>
      </c>
      <c r="R42" s="36">
        <f t="shared" si="7"/>
        <v>188101686.40529439</v>
      </c>
      <c r="S42" s="24">
        <v>42609019124.162964</v>
      </c>
      <c r="T42" s="24">
        <f t="shared" si="8"/>
        <v>639135286862.44446</v>
      </c>
      <c r="U42" s="23">
        <f t="shared" si="9"/>
        <v>2.9430652675851689E-4</v>
      </c>
      <c r="V42" s="23">
        <f t="shared" si="10"/>
        <v>9.8102175586172301E-5</v>
      </c>
      <c r="W42" s="23">
        <f t="shared" si="11"/>
        <v>8.8291958027555072E-4</v>
      </c>
    </row>
    <row r="43" spans="1:23" ht="15" customHeight="1" x14ac:dyDescent="0.25">
      <c r="A43" s="19" t="s">
        <v>106</v>
      </c>
      <c r="B43" s="19" t="s">
        <v>107</v>
      </c>
      <c r="C43" s="19" t="s">
        <v>18</v>
      </c>
      <c r="D43" s="19" t="s">
        <v>26</v>
      </c>
      <c r="E43" s="19" t="s">
        <v>472</v>
      </c>
      <c r="F43" s="23">
        <v>530.71832220241151</v>
      </c>
      <c r="G43" s="24">
        <v>1337705000</v>
      </c>
      <c r="H43" s="24">
        <v>1453297304</v>
      </c>
      <c r="I43" s="19">
        <v>91.5</v>
      </c>
      <c r="J43" s="24">
        <f t="shared" si="0"/>
        <v>123530270.83999994</v>
      </c>
      <c r="K43" s="36">
        <f t="shared" si="2"/>
        <v>123530270.83999994</v>
      </c>
      <c r="L43" s="23">
        <v>534.09353215456349</v>
      </c>
      <c r="M43" s="24">
        <f t="shared" si="1"/>
        <v>65976718680.94545</v>
      </c>
      <c r="N43" s="19">
        <f t="shared" si="3"/>
        <v>1.8630000000000001E-2</v>
      </c>
      <c r="O43" s="24">
        <f t="shared" si="4"/>
        <v>1229146269.0260139</v>
      </c>
      <c r="P43" s="24">
        <f t="shared" si="5"/>
        <v>1843719403.5390208</v>
      </c>
      <c r="Q43" s="24">
        <f t="shared" si="6"/>
        <v>67820438084.484474</v>
      </c>
      <c r="R43" s="36">
        <f t="shared" si="7"/>
        <v>67820438084.484474</v>
      </c>
      <c r="S43" s="24">
        <v>412412144329.84637</v>
      </c>
      <c r="T43" s="24">
        <f t="shared" si="8"/>
        <v>6186182164947.6953</v>
      </c>
      <c r="U43" s="23">
        <f t="shared" si="9"/>
        <v>1.096321386537409E-2</v>
      </c>
      <c r="V43" s="23">
        <f t="shared" si="10"/>
        <v>3.6544046217913632E-3</v>
      </c>
      <c r="W43" s="23">
        <f t="shared" si="11"/>
        <v>3.2889641596122267E-2</v>
      </c>
    </row>
    <row r="44" spans="1:23" ht="15" customHeight="1" x14ac:dyDescent="0.25">
      <c r="A44" s="19" t="s">
        <v>108</v>
      </c>
      <c r="B44" s="19" t="s">
        <v>109</v>
      </c>
      <c r="C44" s="19" t="s">
        <v>18</v>
      </c>
      <c r="D44" s="19" t="s">
        <v>35</v>
      </c>
      <c r="E44" s="19" t="s">
        <v>468</v>
      </c>
      <c r="F44" s="23">
        <v>457.1136934673367</v>
      </c>
      <c r="G44" s="24">
        <v>46444798</v>
      </c>
      <c r="H44" s="24">
        <v>57219408</v>
      </c>
      <c r="I44" s="19">
        <v>91</v>
      </c>
      <c r="J44" s="24">
        <f t="shared" si="0"/>
        <v>5149746.7199999979</v>
      </c>
      <c r="K44" s="36">
        <f t="shared" si="2"/>
        <v>5149746.7199999979</v>
      </c>
      <c r="L44" s="23">
        <v>398.55942376950782</v>
      </c>
      <c r="M44" s="24">
        <f t="shared" si="1"/>
        <v>2052480085.2821121</v>
      </c>
      <c r="N44" s="19">
        <f t="shared" si="3"/>
        <v>1.8630000000000001E-2</v>
      </c>
      <c r="O44" s="24">
        <f t="shared" si="4"/>
        <v>38237703.988805749</v>
      </c>
      <c r="P44" s="24">
        <f t="shared" si="5"/>
        <v>57356555.983208627</v>
      </c>
      <c r="Q44" s="24">
        <f t="shared" si="6"/>
        <v>2109836641.2653208</v>
      </c>
      <c r="R44" s="36">
        <f t="shared" si="7"/>
        <v>2109836641.2653208</v>
      </c>
      <c r="S44" s="24">
        <v>27613795592.874363</v>
      </c>
      <c r="T44" s="24">
        <f t="shared" si="8"/>
        <v>414206933893.11542</v>
      </c>
      <c r="U44" s="23">
        <f t="shared" si="9"/>
        <v>5.0936777456500916E-3</v>
      </c>
      <c r="V44" s="23">
        <f t="shared" si="10"/>
        <v>1.6978925818833641E-3</v>
      </c>
      <c r="W44" s="23">
        <f t="shared" si="11"/>
        <v>1.5281033236950275E-2</v>
      </c>
    </row>
    <row r="45" spans="1:23" ht="15" customHeight="1" x14ac:dyDescent="0.25">
      <c r="A45" s="19" t="s">
        <v>110</v>
      </c>
      <c r="B45" s="19" t="s">
        <v>111</v>
      </c>
      <c r="C45" s="19" t="s">
        <v>14</v>
      </c>
      <c r="D45" s="19" t="s">
        <v>32</v>
      </c>
      <c r="E45" s="19" t="s">
        <v>467</v>
      </c>
      <c r="F45" s="23">
        <v>68.964152792292879</v>
      </c>
      <c r="G45" s="24">
        <v>683081</v>
      </c>
      <c r="H45" s="24">
        <v>1057197</v>
      </c>
      <c r="I45" s="19">
        <v>95.1</v>
      </c>
      <c r="J45" s="24">
        <f t="shared" si="0"/>
        <v>51802.653000000049</v>
      </c>
      <c r="K45" s="36">
        <f t="shared" si="2"/>
        <v>51802.653000000049</v>
      </c>
      <c r="L45" s="23">
        <v>268.51851851851853</v>
      </c>
      <c r="M45" s="24">
        <f t="shared" si="1"/>
        <v>13909971.638888903</v>
      </c>
      <c r="N45" s="19">
        <f t="shared" si="3"/>
        <v>1.8630000000000001E-2</v>
      </c>
      <c r="O45" s="24">
        <f t="shared" si="4"/>
        <v>259142.77163250028</v>
      </c>
      <c r="P45" s="24">
        <f t="shared" si="5"/>
        <v>388714.15744875045</v>
      </c>
      <c r="Q45" s="24">
        <f t="shared" si="6"/>
        <v>14298685.796337653</v>
      </c>
      <c r="R45" s="36">
        <f t="shared" si="7"/>
        <v>14298685.796337653</v>
      </c>
      <c r="S45" s="24">
        <v>15685686.317566991</v>
      </c>
      <c r="T45" s="24">
        <f t="shared" si="8"/>
        <v>235285294.76350486</v>
      </c>
      <c r="U45" s="23">
        <f t="shared" si="9"/>
        <v>6.0771693406125794E-2</v>
      </c>
      <c r="V45" s="23">
        <f t="shared" si="10"/>
        <v>2.0257231135375267E-2</v>
      </c>
      <c r="W45" s="23">
        <f t="shared" si="11"/>
        <v>0.18231508021837742</v>
      </c>
    </row>
    <row r="46" spans="1:23" ht="15" customHeight="1" x14ac:dyDescent="0.25">
      <c r="A46" s="19" t="s">
        <v>112</v>
      </c>
      <c r="B46" s="19" t="s">
        <v>113</v>
      </c>
      <c r="C46" s="19" t="s">
        <v>14</v>
      </c>
      <c r="D46" s="19" t="s">
        <v>32</v>
      </c>
      <c r="E46" s="19" t="s">
        <v>467</v>
      </c>
      <c r="F46" s="23">
        <v>68.964152792292879</v>
      </c>
      <c r="G46" s="24">
        <v>62191161</v>
      </c>
      <c r="H46" s="24">
        <v>103743184</v>
      </c>
      <c r="I46" s="19">
        <v>46</v>
      </c>
      <c r="J46" s="24">
        <f t="shared" si="0"/>
        <v>56021319.360000007</v>
      </c>
      <c r="K46" s="36">
        <f t="shared" si="2"/>
        <v>56021319.360000007</v>
      </c>
      <c r="L46" s="23">
        <v>68.964152792292879</v>
      </c>
      <c r="M46" s="24">
        <f t="shared" si="1"/>
        <v>3863462827.9688754</v>
      </c>
      <c r="N46" s="19">
        <f t="shared" si="3"/>
        <v>1.8630000000000001E-2</v>
      </c>
      <c r="O46" s="24">
        <f t="shared" si="4"/>
        <v>71976312.485060155</v>
      </c>
      <c r="P46" s="24">
        <f t="shared" si="5"/>
        <v>107964468.72759023</v>
      </c>
      <c r="Q46" s="24">
        <f t="shared" si="6"/>
        <v>3971427296.6964655</v>
      </c>
      <c r="R46" s="36">
        <f t="shared" si="7"/>
        <v>3971427296.6964655</v>
      </c>
      <c r="S46" s="24">
        <v>7681552331.5239582</v>
      </c>
      <c r="T46" s="24">
        <f t="shared" si="8"/>
        <v>115223284972.85937</v>
      </c>
      <c r="U46" s="23">
        <f t="shared" si="9"/>
        <v>3.4467228543535518E-2</v>
      </c>
      <c r="V46" s="23">
        <f t="shared" si="10"/>
        <v>1.1489076181178505E-2</v>
      </c>
      <c r="W46" s="23">
        <f t="shared" si="11"/>
        <v>0.10340168563060656</v>
      </c>
    </row>
    <row r="47" spans="1:23" ht="15" customHeight="1" x14ac:dyDescent="0.25">
      <c r="A47" s="19" t="s">
        <v>114</v>
      </c>
      <c r="B47" s="19" t="s">
        <v>115</v>
      </c>
      <c r="C47" s="19" t="s">
        <v>40</v>
      </c>
      <c r="D47" s="19" t="s">
        <v>32</v>
      </c>
      <c r="E47" s="19" t="s">
        <v>467</v>
      </c>
      <c r="F47" s="23">
        <v>68.964152792292879</v>
      </c>
      <c r="G47" s="24">
        <v>4111715</v>
      </c>
      <c r="H47" s="24">
        <v>6753771</v>
      </c>
      <c r="I47" s="19">
        <v>74.3</v>
      </c>
      <c r="J47" s="24">
        <f t="shared" si="0"/>
        <v>1735719.1470000001</v>
      </c>
      <c r="K47" s="36">
        <f t="shared" si="2"/>
        <v>1735719.1470000001</v>
      </c>
      <c r="L47" s="23">
        <v>68.964152792292879</v>
      </c>
      <c r="M47" s="24">
        <f t="shared" si="1"/>
        <v>119702400.45821626</v>
      </c>
      <c r="N47" s="19">
        <f t="shared" si="3"/>
        <v>1.8630000000000001E-2</v>
      </c>
      <c r="O47" s="24">
        <f t="shared" si="4"/>
        <v>2230055.7205365691</v>
      </c>
      <c r="P47" s="24">
        <f t="shared" si="5"/>
        <v>3345083.5808048537</v>
      </c>
      <c r="Q47" s="24">
        <f t="shared" si="6"/>
        <v>123047484.03902112</v>
      </c>
      <c r="R47" s="36">
        <f t="shared" si="7"/>
        <v>123047484.03902112</v>
      </c>
      <c r="S47" s="24">
        <v>7999753757.4398327</v>
      </c>
      <c r="T47" s="24">
        <f t="shared" si="8"/>
        <v>119996306361.59749</v>
      </c>
      <c r="U47" s="23">
        <f t="shared" si="9"/>
        <v>1.0254272633044986E-3</v>
      </c>
      <c r="V47" s="23">
        <f t="shared" si="10"/>
        <v>3.4180908776816621E-4</v>
      </c>
      <c r="W47" s="23">
        <f t="shared" si="11"/>
        <v>3.0762817899134959E-3</v>
      </c>
    </row>
    <row r="48" spans="1:23" ht="15" customHeight="1" x14ac:dyDescent="0.25">
      <c r="A48" s="19" t="s">
        <v>116</v>
      </c>
      <c r="B48" s="19" t="s">
        <v>117</v>
      </c>
      <c r="C48" s="19" t="s">
        <v>18</v>
      </c>
      <c r="D48" s="19" t="s">
        <v>35</v>
      </c>
      <c r="E48" s="19" t="s">
        <v>468</v>
      </c>
      <c r="F48" s="23">
        <v>457.1136934673367</v>
      </c>
      <c r="G48" s="24">
        <v>4669685</v>
      </c>
      <c r="H48" s="24">
        <v>5759573</v>
      </c>
      <c r="I48" s="19">
        <v>96.3</v>
      </c>
      <c r="J48" s="24">
        <f t="shared" si="0"/>
        <v>213104.20100000018</v>
      </c>
      <c r="K48" s="36">
        <f t="shared" si="2"/>
        <v>213104.20100000018</v>
      </c>
      <c r="L48" s="23">
        <v>491.41630901287556</v>
      </c>
      <c r="M48" s="24">
        <f t="shared" si="1"/>
        <v>104722879.89055803</v>
      </c>
      <c r="N48" s="19">
        <f t="shared" si="3"/>
        <v>1.8630000000000001E-2</v>
      </c>
      <c r="O48" s="24">
        <f t="shared" si="4"/>
        <v>1950987.2523610962</v>
      </c>
      <c r="P48" s="24">
        <f t="shared" si="5"/>
        <v>2926480.8785416447</v>
      </c>
      <c r="Q48" s="24">
        <f t="shared" si="6"/>
        <v>107649360.76909968</v>
      </c>
      <c r="R48" s="36">
        <f t="shared" si="7"/>
        <v>107649360.76909968</v>
      </c>
      <c r="S48" s="24">
        <v>447691904.68022686</v>
      </c>
      <c r="T48" s="24">
        <f t="shared" si="8"/>
        <v>6715378570.2034025</v>
      </c>
      <c r="U48" s="23">
        <f t="shared" si="9"/>
        <v>1.6030274338776272E-2</v>
      </c>
      <c r="V48" s="23">
        <f t="shared" si="10"/>
        <v>5.3434247795920899E-3</v>
      </c>
      <c r="W48" s="23">
        <f t="shared" si="11"/>
        <v>4.8090823016328804E-2</v>
      </c>
    </row>
    <row r="49" spans="1:23" ht="15" customHeight="1" x14ac:dyDescent="0.25">
      <c r="A49" s="19" t="s">
        <v>118</v>
      </c>
      <c r="B49" s="19" t="s">
        <v>119</v>
      </c>
      <c r="C49" s="19" t="s">
        <v>40</v>
      </c>
      <c r="D49" s="19" t="s">
        <v>32</v>
      </c>
      <c r="E49" s="19" t="s">
        <v>467</v>
      </c>
      <c r="F49" s="23">
        <v>68.964152792292879</v>
      </c>
      <c r="G49" s="24">
        <v>18976588</v>
      </c>
      <c r="H49" s="24">
        <v>29227188</v>
      </c>
      <c r="I49" s="19">
        <v>79.7</v>
      </c>
      <c r="J49" s="24">
        <f t="shared" si="0"/>
        <v>5933119.1639999989</v>
      </c>
      <c r="K49" s="36">
        <f t="shared" si="2"/>
        <v>5933119.1639999989</v>
      </c>
      <c r="L49" s="23">
        <v>68.964152792292879</v>
      </c>
      <c r="M49" s="24">
        <f t="shared" si="1"/>
        <v>409172536.56097692</v>
      </c>
      <c r="N49" s="19">
        <f t="shared" si="3"/>
        <v>1.8630000000000001E-2</v>
      </c>
      <c r="O49" s="24">
        <f t="shared" si="4"/>
        <v>7622884.3561310004</v>
      </c>
      <c r="P49" s="24">
        <f t="shared" si="5"/>
        <v>11434326.534196502</v>
      </c>
      <c r="Q49" s="24">
        <f t="shared" si="6"/>
        <v>420606863.09517342</v>
      </c>
      <c r="R49" s="36">
        <f t="shared" si="7"/>
        <v>420606863.09517342</v>
      </c>
      <c r="S49" s="24">
        <v>1791544935.1129889</v>
      </c>
      <c r="T49" s="24">
        <f t="shared" si="8"/>
        <v>26873174026.694836</v>
      </c>
      <c r="U49" s="23">
        <f t="shared" si="9"/>
        <v>1.5651551345492641E-2</v>
      </c>
      <c r="V49" s="23">
        <f t="shared" si="10"/>
        <v>5.2171837818308798E-3</v>
      </c>
      <c r="W49" s="23">
        <f t="shared" si="11"/>
        <v>4.6954654036477923E-2</v>
      </c>
    </row>
    <row r="50" spans="1:23" ht="15" customHeight="1" x14ac:dyDescent="0.25">
      <c r="A50" s="19" t="s">
        <v>120</v>
      </c>
      <c r="B50" s="19" t="s">
        <v>121</v>
      </c>
      <c r="C50" s="19" t="s">
        <v>29</v>
      </c>
      <c r="D50" s="19" t="s">
        <v>19</v>
      </c>
      <c r="E50" s="19" t="s">
        <v>232</v>
      </c>
      <c r="F50" s="23">
        <v>270.56505523889945</v>
      </c>
      <c r="G50" s="24">
        <v>4417800</v>
      </c>
      <c r="H50" s="24">
        <v>4015138</v>
      </c>
      <c r="I50" s="19">
        <v>98.5</v>
      </c>
      <c r="J50" s="24">
        <f t="shared" si="0"/>
        <v>60227.070000000051</v>
      </c>
      <c r="K50" s="36">
        <f t="shared" si="2"/>
        <v>60227.070000000051</v>
      </c>
      <c r="L50" s="23">
        <v>270.56505523889945</v>
      </c>
      <c r="M50" s="24">
        <f t="shared" si="1"/>
        <v>16295340.521427078</v>
      </c>
      <c r="N50" s="19">
        <f t="shared" si="3"/>
        <v>1.8630000000000001E-2</v>
      </c>
      <c r="O50" s="24">
        <f t="shared" si="4"/>
        <v>303582.1939141865</v>
      </c>
      <c r="P50" s="24">
        <f t="shared" si="5"/>
        <v>455373.29087127978</v>
      </c>
      <c r="Q50" s="24">
        <f t="shared" si="6"/>
        <v>16750713.812298357</v>
      </c>
      <c r="R50" s="36">
        <f t="shared" si="7"/>
        <v>16750713.812298357</v>
      </c>
      <c r="S50" s="24">
        <v>918544973.75403845</v>
      </c>
      <c r="T50" s="24">
        <f t="shared" si="8"/>
        <v>13778174606.310577</v>
      </c>
      <c r="U50" s="23">
        <f t="shared" si="9"/>
        <v>1.2157425995041695E-3</v>
      </c>
      <c r="V50" s="23">
        <f t="shared" si="10"/>
        <v>4.0524753316805649E-4</v>
      </c>
      <c r="W50" s="23">
        <f t="shared" si="11"/>
        <v>3.6472277985125081E-3</v>
      </c>
    </row>
    <row r="51" spans="1:23" ht="15" customHeight="1" x14ac:dyDescent="0.25">
      <c r="A51" s="19" t="s">
        <v>122</v>
      </c>
      <c r="B51" s="19" t="s">
        <v>123</v>
      </c>
      <c r="C51" s="19" t="s">
        <v>18</v>
      </c>
      <c r="D51" s="19" t="s">
        <v>35</v>
      </c>
      <c r="E51" s="19" t="s">
        <v>468</v>
      </c>
      <c r="F51" s="23">
        <v>457.1136934673367</v>
      </c>
      <c r="G51" s="24">
        <v>11281768</v>
      </c>
      <c r="H51" s="24">
        <v>10847333</v>
      </c>
      <c r="I51" s="19">
        <v>93.5</v>
      </c>
      <c r="J51" s="24">
        <f t="shared" si="0"/>
        <v>705076.64499999944</v>
      </c>
      <c r="K51" s="36">
        <f t="shared" si="2"/>
        <v>705076.64499999944</v>
      </c>
      <c r="L51" s="23">
        <v>367.28395061728395</v>
      </c>
      <c r="M51" s="24">
        <f t="shared" si="1"/>
        <v>258963335.66358003</v>
      </c>
      <c r="N51" s="19">
        <f t="shared" si="3"/>
        <v>1.8630000000000001E-2</v>
      </c>
      <c r="O51" s="24">
        <f t="shared" si="4"/>
        <v>4824486.9434124958</v>
      </c>
      <c r="P51" s="24">
        <f t="shared" si="5"/>
        <v>7236730.4151187437</v>
      </c>
      <c r="Q51" s="24">
        <f t="shared" si="6"/>
        <v>266200066.07869878</v>
      </c>
      <c r="R51" s="36">
        <f t="shared" si="7"/>
        <v>266200066.07869878</v>
      </c>
      <c r="S51" s="24">
        <v>3082852547.1150317</v>
      </c>
      <c r="T51" s="24">
        <f t="shared" si="8"/>
        <v>46242788206.725479</v>
      </c>
      <c r="U51" s="23">
        <f t="shared" si="9"/>
        <v>5.7565747309324886E-3</v>
      </c>
      <c r="V51" s="23">
        <f t="shared" si="10"/>
        <v>1.9188582436441626E-3</v>
      </c>
      <c r="W51" s="23">
        <f t="shared" si="11"/>
        <v>1.7269724192797466E-2</v>
      </c>
    </row>
    <row r="52" spans="1:23" ht="15" customHeight="1" x14ac:dyDescent="0.25">
      <c r="A52" s="19" t="s">
        <v>124</v>
      </c>
      <c r="B52" s="19" t="s">
        <v>125</v>
      </c>
      <c r="C52" s="19" t="s">
        <v>29</v>
      </c>
      <c r="D52" s="19" t="s">
        <v>35</v>
      </c>
      <c r="E52" s="19" t="s">
        <v>468</v>
      </c>
      <c r="F52" s="23">
        <v>457.1136934673367</v>
      </c>
      <c r="G52" s="24">
        <v>149311</v>
      </c>
      <c r="H52" s="24">
        <v>178776</v>
      </c>
      <c r="I52" s="23" t="s">
        <v>232</v>
      </c>
      <c r="J52" s="24" t="e">
        <f t="shared" si="0"/>
        <v>#VALUE!</v>
      </c>
      <c r="K52" s="36">
        <f t="shared" si="2"/>
        <v>0</v>
      </c>
      <c r="L52" s="23" t="s">
        <v>232</v>
      </c>
      <c r="M52" s="24" t="e">
        <f t="shared" si="1"/>
        <v>#VALUE!</v>
      </c>
      <c r="N52" s="19" t="e">
        <f t="shared" si="3"/>
        <v>#VALUE!</v>
      </c>
      <c r="O52" s="24" t="e">
        <f t="shared" si="4"/>
        <v>#VALUE!</v>
      </c>
      <c r="P52" s="24" t="e">
        <f t="shared" si="5"/>
        <v>#VALUE!</v>
      </c>
      <c r="Q52" s="24" t="e">
        <f t="shared" si="6"/>
        <v>#VALUE!</v>
      </c>
      <c r="R52" s="36">
        <f t="shared" si="7"/>
        <v>0</v>
      </c>
      <c r="S52" s="23" t="s">
        <v>232</v>
      </c>
      <c r="T52" s="24" t="e">
        <f t="shared" si="8"/>
        <v>#VALUE!</v>
      </c>
      <c r="U52" s="23" t="e">
        <f t="shared" si="9"/>
        <v>#VALUE!</v>
      </c>
      <c r="V52" s="23" t="e">
        <f t="shared" si="10"/>
        <v>#VALUE!</v>
      </c>
      <c r="W52" s="23" t="e">
        <f t="shared" si="11"/>
        <v>#VALUE!</v>
      </c>
    </row>
    <row r="53" spans="1:23" ht="15" customHeight="1" x14ac:dyDescent="0.25">
      <c r="A53" s="19" t="s">
        <v>126</v>
      </c>
      <c r="B53" s="19" t="s">
        <v>127</v>
      </c>
      <c r="C53" s="19" t="s">
        <v>29</v>
      </c>
      <c r="D53" s="19" t="s">
        <v>19</v>
      </c>
      <c r="E53" s="19" t="s">
        <v>232</v>
      </c>
      <c r="F53" s="23" t="s">
        <v>232</v>
      </c>
      <c r="G53" s="24">
        <v>1103685</v>
      </c>
      <c r="H53" s="24">
        <v>1306312</v>
      </c>
      <c r="I53" s="19">
        <v>100</v>
      </c>
      <c r="J53" s="24">
        <f t="shared" si="0"/>
        <v>0</v>
      </c>
      <c r="K53" s="36">
        <f t="shared" si="2"/>
        <v>0</v>
      </c>
      <c r="L53" s="23" t="s">
        <v>232</v>
      </c>
      <c r="M53" s="24" t="e">
        <f t="shared" si="1"/>
        <v>#VALUE!</v>
      </c>
      <c r="N53" s="19" t="e">
        <f t="shared" si="3"/>
        <v>#VALUE!</v>
      </c>
      <c r="O53" s="24" t="e">
        <f t="shared" si="4"/>
        <v>#VALUE!</v>
      </c>
      <c r="P53" s="24" t="e">
        <f t="shared" si="5"/>
        <v>#VALUE!</v>
      </c>
      <c r="Q53" s="24" t="e">
        <f t="shared" si="6"/>
        <v>#VALUE!</v>
      </c>
      <c r="R53" s="36">
        <f t="shared" si="7"/>
        <v>0</v>
      </c>
      <c r="S53" s="24">
        <v>2097439.0563930012</v>
      </c>
      <c r="T53" s="24">
        <f t="shared" si="8"/>
        <v>31461585.845895018</v>
      </c>
      <c r="U53" s="23" t="e">
        <f t="shared" si="9"/>
        <v>#VALUE!</v>
      </c>
      <c r="V53" s="23" t="e">
        <f t="shared" si="10"/>
        <v>#VALUE!</v>
      </c>
      <c r="W53" s="23" t="e">
        <f t="shared" si="11"/>
        <v>#VALUE!</v>
      </c>
    </row>
    <row r="54" spans="1:23" ht="15" customHeight="1" x14ac:dyDescent="0.25">
      <c r="A54" s="19" t="s">
        <v>128</v>
      </c>
      <c r="B54" s="19" t="s">
        <v>129</v>
      </c>
      <c r="C54" s="19" t="s">
        <v>45</v>
      </c>
      <c r="D54" s="19" t="s">
        <v>19</v>
      </c>
      <c r="E54" s="19" t="s">
        <v>232</v>
      </c>
      <c r="F54" s="23" t="s">
        <v>232</v>
      </c>
      <c r="G54" s="24">
        <v>10474410</v>
      </c>
      <c r="H54" s="24">
        <v>11053125</v>
      </c>
      <c r="I54" s="19">
        <v>99.8</v>
      </c>
      <c r="J54" s="24">
        <f t="shared" si="0"/>
        <v>22106.250000000018</v>
      </c>
      <c r="K54" s="36">
        <f t="shared" si="2"/>
        <v>22106.250000000018</v>
      </c>
      <c r="L54" s="23" t="s">
        <v>232</v>
      </c>
      <c r="M54" s="24" t="e">
        <f t="shared" si="1"/>
        <v>#VALUE!</v>
      </c>
      <c r="N54" s="19" t="e">
        <f t="shared" si="3"/>
        <v>#VALUE!</v>
      </c>
      <c r="O54" s="24" t="e">
        <f t="shared" si="4"/>
        <v>#VALUE!</v>
      </c>
      <c r="P54" s="24" t="e">
        <f t="shared" si="5"/>
        <v>#VALUE!</v>
      </c>
      <c r="Q54" s="24" t="e">
        <f t="shared" si="6"/>
        <v>#VALUE!</v>
      </c>
      <c r="R54" s="36">
        <f t="shared" si="7"/>
        <v>0</v>
      </c>
      <c r="S54" s="24">
        <v>1366868039.2637777</v>
      </c>
      <c r="T54" s="24">
        <f t="shared" si="8"/>
        <v>20503020588.956665</v>
      </c>
      <c r="U54" s="23" t="e">
        <f t="shared" si="9"/>
        <v>#VALUE!</v>
      </c>
      <c r="V54" s="23" t="e">
        <f t="shared" si="10"/>
        <v>#VALUE!</v>
      </c>
      <c r="W54" s="23" t="e">
        <f t="shared" si="11"/>
        <v>#VALUE!</v>
      </c>
    </row>
    <row r="55" spans="1:23" ht="15" customHeight="1" x14ac:dyDescent="0.25">
      <c r="A55" s="19" t="s">
        <v>130</v>
      </c>
      <c r="B55" s="19" t="s">
        <v>131</v>
      </c>
      <c r="C55" s="19" t="s">
        <v>45</v>
      </c>
      <c r="D55" s="19" t="s">
        <v>19</v>
      </c>
      <c r="E55" s="19" t="s">
        <v>232</v>
      </c>
      <c r="F55" s="23" t="s">
        <v>232</v>
      </c>
      <c r="G55" s="24">
        <v>5547683</v>
      </c>
      <c r="H55" s="24">
        <v>6009458</v>
      </c>
      <c r="I55" s="19">
        <v>100</v>
      </c>
      <c r="J55" s="24">
        <f t="shared" si="0"/>
        <v>0</v>
      </c>
      <c r="K55" s="36">
        <f t="shared" si="2"/>
        <v>0</v>
      </c>
      <c r="L55" s="23" t="s">
        <v>232</v>
      </c>
      <c r="M55" s="24" t="e">
        <f t="shared" si="1"/>
        <v>#VALUE!</v>
      </c>
      <c r="N55" s="19" t="e">
        <f t="shared" si="3"/>
        <v>#VALUE!</v>
      </c>
      <c r="O55" s="24" t="e">
        <f t="shared" si="4"/>
        <v>#VALUE!</v>
      </c>
      <c r="P55" s="24" t="e">
        <f t="shared" si="5"/>
        <v>#VALUE!</v>
      </c>
      <c r="Q55" s="24" t="e">
        <f t="shared" si="6"/>
        <v>#VALUE!</v>
      </c>
      <c r="R55" s="36">
        <f t="shared" si="7"/>
        <v>0</v>
      </c>
      <c r="S55" s="24">
        <v>6826937316.8512735</v>
      </c>
      <c r="T55" s="24">
        <f t="shared" si="8"/>
        <v>102404059752.7691</v>
      </c>
      <c r="U55" s="23" t="e">
        <f t="shared" si="9"/>
        <v>#VALUE!</v>
      </c>
      <c r="V55" s="23" t="e">
        <f t="shared" si="10"/>
        <v>#VALUE!</v>
      </c>
      <c r="W55" s="23" t="e">
        <f t="shared" si="11"/>
        <v>#VALUE!</v>
      </c>
    </row>
    <row r="56" spans="1:23" ht="15" customHeight="1" x14ac:dyDescent="0.25">
      <c r="A56" s="19" t="s">
        <v>132</v>
      </c>
      <c r="B56" s="19" t="s">
        <v>133</v>
      </c>
      <c r="C56" s="19" t="s">
        <v>40</v>
      </c>
      <c r="D56" s="19" t="s">
        <v>22</v>
      </c>
      <c r="E56" s="19" t="s">
        <v>232</v>
      </c>
      <c r="F56" s="23">
        <v>412.83830673143649</v>
      </c>
      <c r="G56" s="24">
        <v>834036</v>
      </c>
      <c r="H56" s="24">
        <v>1075146</v>
      </c>
      <c r="I56" s="19">
        <v>91.8</v>
      </c>
      <c r="J56" s="24">
        <f t="shared" si="0"/>
        <v>88161.972000000082</v>
      </c>
      <c r="K56" s="36">
        <f t="shared" si="2"/>
        <v>88161.972000000082</v>
      </c>
      <c r="L56" s="23">
        <v>356.58914728682169</v>
      </c>
      <c r="M56" s="24">
        <f t="shared" si="1"/>
        <v>31437602.418604679</v>
      </c>
      <c r="N56" s="19">
        <f t="shared" si="3"/>
        <v>1.8630000000000001E-2</v>
      </c>
      <c r="O56" s="24">
        <f t="shared" si="4"/>
        <v>585682.53305860516</v>
      </c>
      <c r="P56" s="24">
        <f t="shared" si="5"/>
        <v>878523.79958790774</v>
      </c>
      <c r="Q56" s="24">
        <f t="shared" si="6"/>
        <v>32316126.218192589</v>
      </c>
      <c r="R56" s="36">
        <f t="shared" si="7"/>
        <v>32316126.218192589</v>
      </c>
      <c r="S56" s="23" t="s">
        <v>232</v>
      </c>
      <c r="T56" s="24" t="e">
        <f t="shared" si="8"/>
        <v>#VALUE!</v>
      </c>
      <c r="U56" s="23" t="e">
        <f t="shared" si="9"/>
        <v>#VALUE!</v>
      </c>
      <c r="V56" s="23" t="e">
        <f t="shared" si="10"/>
        <v>#VALUE!</v>
      </c>
      <c r="W56" s="23" t="e">
        <f t="shared" si="11"/>
        <v>#VALUE!</v>
      </c>
    </row>
    <row r="57" spans="1:23" ht="15" customHeight="1" x14ac:dyDescent="0.25">
      <c r="A57" s="19" t="s">
        <v>134</v>
      </c>
      <c r="B57" s="19" t="s">
        <v>135</v>
      </c>
      <c r="C57" s="19" t="s">
        <v>18</v>
      </c>
      <c r="D57" s="19" t="s">
        <v>35</v>
      </c>
      <c r="E57" s="19" t="s">
        <v>468</v>
      </c>
      <c r="F57" s="23">
        <v>457.1136934673367</v>
      </c>
      <c r="G57" s="24">
        <v>71167</v>
      </c>
      <c r="H57" s="24">
        <v>76952</v>
      </c>
      <c r="I57" s="23" t="s">
        <v>232</v>
      </c>
      <c r="J57" s="24" t="e">
        <f t="shared" si="0"/>
        <v>#VALUE!</v>
      </c>
      <c r="K57" s="36">
        <f t="shared" si="2"/>
        <v>0</v>
      </c>
      <c r="L57" s="23" t="s">
        <v>232</v>
      </c>
      <c r="M57" s="24" t="e">
        <f t="shared" si="1"/>
        <v>#VALUE!</v>
      </c>
      <c r="N57" s="19" t="e">
        <f t="shared" si="3"/>
        <v>#VALUE!</v>
      </c>
      <c r="O57" s="24" t="e">
        <f t="shared" si="4"/>
        <v>#VALUE!</v>
      </c>
      <c r="P57" s="24" t="e">
        <f t="shared" si="5"/>
        <v>#VALUE!</v>
      </c>
      <c r="Q57" s="24" t="e">
        <f t="shared" si="6"/>
        <v>#VALUE!</v>
      </c>
      <c r="R57" s="36">
        <f t="shared" si="7"/>
        <v>0</v>
      </c>
      <c r="S57" s="24">
        <v>491062.11491866165</v>
      </c>
      <c r="T57" s="24">
        <f t="shared" si="8"/>
        <v>7365931.7237799251</v>
      </c>
      <c r="U57" s="23" t="e">
        <f t="shared" si="9"/>
        <v>#VALUE!</v>
      </c>
      <c r="V57" s="23" t="e">
        <f t="shared" si="10"/>
        <v>#VALUE!</v>
      </c>
      <c r="W57" s="23" t="e">
        <f t="shared" si="11"/>
        <v>#VALUE!</v>
      </c>
    </row>
    <row r="58" spans="1:23" ht="15" customHeight="1" x14ac:dyDescent="0.25">
      <c r="A58" s="19" t="s">
        <v>136</v>
      </c>
      <c r="B58" s="19" t="s">
        <v>137</v>
      </c>
      <c r="C58" s="19" t="s">
        <v>18</v>
      </c>
      <c r="D58" s="19" t="s">
        <v>35</v>
      </c>
      <c r="E58" s="19" t="s">
        <v>468</v>
      </c>
      <c r="F58" s="23">
        <v>457.1136934673367</v>
      </c>
      <c r="G58" s="24">
        <v>10016797</v>
      </c>
      <c r="H58" s="24">
        <v>12218615</v>
      </c>
      <c r="I58" s="19">
        <v>81.8</v>
      </c>
      <c r="J58" s="24">
        <f t="shared" si="0"/>
        <v>2223787.9300000006</v>
      </c>
      <c r="K58" s="36">
        <f t="shared" si="2"/>
        <v>2223787.9300000006</v>
      </c>
      <c r="L58" s="23">
        <v>457.1136934673367</v>
      </c>
      <c r="M58" s="24">
        <f t="shared" si="1"/>
        <v>1016523914.1703835</v>
      </c>
      <c r="N58" s="19">
        <f t="shared" si="3"/>
        <v>1.8630000000000001E-2</v>
      </c>
      <c r="O58" s="24">
        <f t="shared" si="4"/>
        <v>18937840.520994246</v>
      </c>
      <c r="P58" s="24">
        <f t="shared" si="5"/>
        <v>28406760.781491369</v>
      </c>
      <c r="Q58" s="24">
        <f t="shared" si="6"/>
        <v>1044930674.9518749</v>
      </c>
      <c r="R58" s="36">
        <f t="shared" si="7"/>
        <v>1044930674.9518749</v>
      </c>
      <c r="S58" s="24">
        <v>129924258.050329</v>
      </c>
      <c r="T58" s="24">
        <f t="shared" si="8"/>
        <v>1948863870.754935</v>
      </c>
      <c r="U58" s="23">
        <f t="shared" si="9"/>
        <v>0.53617427601400303</v>
      </c>
      <c r="V58" s="23">
        <f t="shared" si="10"/>
        <v>0.17872475867133436</v>
      </c>
      <c r="W58" s="23">
        <f t="shared" si="11"/>
        <v>1.6085228280420092</v>
      </c>
    </row>
    <row r="59" spans="1:23" ht="15" customHeight="1" x14ac:dyDescent="0.25">
      <c r="A59" s="19" t="s">
        <v>138</v>
      </c>
      <c r="B59" s="19" t="s">
        <v>139</v>
      </c>
      <c r="C59" s="19" t="s">
        <v>18</v>
      </c>
      <c r="D59" s="19" t="s">
        <v>35</v>
      </c>
      <c r="E59" s="19" t="s">
        <v>468</v>
      </c>
      <c r="F59" s="23">
        <v>457.1136934673367</v>
      </c>
      <c r="G59" s="24">
        <v>15001072</v>
      </c>
      <c r="H59" s="24">
        <v>19648546</v>
      </c>
      <c r="I59" s="19">
        <v>85.3</v>
      </c>
      <c r="J59" s="24">
        <f t="shared" si="0"/>
        <v>2888336.2620000006</v>
      </c>
      <c r="K59" s="36">
        <f t="shared" si="2"/>
        <v>2888336.2620000006</v>
      </c>
      <c r="L59" s="23">
        <v>3565.9373151981076</v>
      </c>
      <c r="M59" s="24">
        <f t="shared" si="1"/>
        <v>10299626055.505619</v>
      </c>
      <c r="N59" s="19">
        <f t="shared" si="3"/>
        <v>1.8630000000000001E-2</v>
      </c>
      <c r="O59" s="24">
        <f t="shared" si="4"/>
        <v>191882033.41406968</v>
      </c>
      <c r="P59" s="24">
        <f t="shared" si="5"/>
        <v>287823050.12110454</v>
      </c>
      <c r="Q59" s="24">
        <f t="shared" si="6"/>
        <v>10587449105.626724</v>
      </c>
      <c r="R59" s="36">
        <f t="shared" si="7"/>
        <v>10587449105.626724</v>
      </c>
      <c r="S59" s="24">
        <v>12579420182.430964</v>
      </c>
      <c r="T59" s="24">
        <f t="shared" si="8"/>
        <v>188691302736.46445</v>
      </c>
      <c r="U59" s="23">
        <f t="shared" si="9"/>
        <v>5.6109894584880131E-2</v>
      </c>
      <c r="V59" s="23">
        <f t="shared" si="10"/>
        <v>1.8703298194960045E-2</v>
      </c>
      <c r="W59" s="23">
        <f t="shared" si="11"/>
        <v>0.16832968375464039</v>
      </c>
    </row>
    <row r="60" spans="1:23" ht="15" customHeight="1" x14ac:dyDescent="0.25">
      <c r="A60" s="19" t="s">
        <v>140</v>
      </c>
      <c r="B60" s="19" t="s">
        <v>141</v>
      </c>
      <c r="C60" s="19" t="s">
        <v>40</v>
      </c>
      <c r="D60" s="19" t="s">
        <v>22</v>
      </c>
      <c r="E60" s="19" t="s">
        <v>466</v>
      </c>
      <c r="F60" s="23">
        <v>412.83830673143649</v>
      </c>
      <c r="G60" s="24">
        <v>78075705</v>
      </c>
      <c r="H60" s="24">
        <v>102552797</v>
      </c>
      <c r="I60" s="19">
        <v>99.3</v>
      </c>
      <c r="J60" s="24">
        <f t="shared" si="0"/>
        <v>717869.57900000061</v>
      </c>
      <c r="K60" s="36">
        <f t="shared" si="2"/>
        <v>717869.57900000061</v>
      </c>
      <c r="L60" s="23" t="s">
        <v>232</v>
      </c>
      <c r="M60" s="24" t="e">
        <f t="shared" si="1"/>
        <v>#VALUE!</v>
      </c>
      <c r="N60" s="19" t="e">
        <f t="shared" si="3"/>
        <v>#VALUE!</v>
      </c>
      <c r="O60" s="24" t="e">
        <f t="shared" si="4"/>
        <v>#VALUE!</v>
      </c>
      <c r="P60" s="24" t="e">
        <f t="shared" si="5"/>
        <v>#VALUE!</v>
      </c>
      <c r="Q60" s="24" t="e">
        <f t="shared" si="6"/>
        <v>#VALUE!</v>
      </c>
      <c r="R60" s="36">
        <f t="shared" si="7"/>
        <v>0</v>
      </c>
      <c r="S60" s="24">
        <v>26385352958.727764</v>
      </c>
      <c r="T60" s="24">
        <f t="shared" si="8"/>
        <v>395780294380.91644</v>
      </c>
      <c r="U60" s="23" t="e">
        <f t="shared" si="9"/>
        <v>#VALUE!</v>
      </c>
      <c r="V60" s="23" t="e">
        <f t="shared" si="10"/>
        <v>#VALUE!</v>
      </c>
      <c r="W60" s="23" t="e">
        <f t="shared" si="11"/>
        <v>#VALUE!</v>
      </c>
    </row>
    <row r="61" spans="1:23" ht="15" customHeight="1" x14ac:dyDescent="0.25">
      <c r="A61" s="19" t="s">
        <v>142</v>
      </c>
      <c r="B61" s="19" t="s">
        <v>143</v>
      </c>
      <c r="C61" s="19" t="s">
        <v>40</v>
      </c>
      <c r="D61" s="19" t="s">
        <v>35</v>
      </c>
      <c r="E61" s="19" t="s">
        <v>468</v>
      </c>
      <c r="F61" s="23">
        <v>457.1136934673367</v>
      </c>
      <c r="G61" s="24">
        <v>6218195</v>
      </c>
      <c r="H61" s="24">
        <v>6874758</v>
      </c>
      <c r="I61" s="19">
        <v>90</v>
      </c>
      <c r="J61" s="24">
        <f t="shared" si="0"/>
        <v>687475.79999999981</v>
      </c>
      <c r="K61" s="36">
        <f t="shared" si="2"/>
        <v>687475.79999999981</v>
      </c>
      <c r="L61" s="23">
        <v>326.61290322580646</v>
      </c>
      <c r="M61" s="24">
        <f t="shared" si="1"/>
        <v>224538466.93548381</v>
      </c>
      <c r="N61" s="19">
        <f t="shared" si="3"/>
        <v>1.8630000000000001E-2</v>
      </c>
      <c r="O61" s="24">
        <f t="shared" si="4"/>
        <v>4183151.6390080638</v>
      </c>
      <c r="P61" s="24">
        <f t="shared" si="5"/>
        <v>6274727.4585120957</v>
      </c>
      <c r="Q61" s="24">
        <f t="shared" si="6"/>
        <v>230813194.39399591</v>
      </c>
      <c r="R61" s="36">
        <f t="shared" si="7"/>
        <v>230813194.39399591</v>
      </c>
      <c r="S61" s="24">
        <v>390192552.90387428</v>
      </c>
      <c r="T61" s="24">
        <f t="shared" si="8"/>
        <v>5852888293.5581141</v>
      </c>
      <c r="U61" s="23">
        <f t="shared" si="9"/>
        <v>3.9435776460664165E-2</v>
      </c>
      <c r="V61" s="23">
        <f t="shared" si="10"/>
        <v>1.3145258820221387E-2</v>
      </c>
      <c r="W61" s="23">
        <f t="shared" si="11"/>
        <v>0.1183073293819925</v>
      </c>
    </row>
    <row r="62" spans="1:23" ht="15" customHeight="1" x14ac:dyDescent="0.25">
      <c r="A62" s="19" t="s">
        <v>144</v>
      </c>
      <c r="B62" s="19" t="s">
        <v>145</v>
      </c>
      <c r="C62" s="19" t="s">
        <v>29</v>
      </c>
      <c r="D62" s="19" t="s">
        <v>32</v>
      </c>
      <c r="E62" s="19" t="s">
        <v>467</v>
      </c>
      <c r="F62" s="23">
        <v>68.964152792292879</v>
      </c>
      <c r="G62" s="24">
        <v>696167</v>
      </c>
      <c r="H62" s="24">
        <v>1138788</v>
      </c>
      <c r="I62" s="23" t="s">
        <v>232</v>
      </c>
      <c r="J62" s="24" t="e">
        <f t="shared" si="0"/>
        <v>#VALUE!</v>
      </c>
      <c r="K62" s="36">
        <f t="shared" si="2"/>
        <v>0</v>
      </c>
      <c r="L62" s="23">
        <v>199.58419958419958</v>
      </c>
      <c r="M62" s="24" t="e">
        <f t="shared" si="1"/>
        <v>#VALUE!</v>
      </c>
      <c r="N62" s="19" t="e">
        <f t="shared" si="3"/>
        <v>#VALUE!</v>
      </c>
      <c r="O62" s="24" t="e">
        <f t="shared" si="4"/>
        <v>#VALUE!</v>
      </c>
      <c r="P62" s="24" t="e">
        <f t="shared" si="5"/>
        <v>#VALUE!</v>
      </c>
      <c r="Q62" s="24" t="e">
        <f t="shared" si="6"/>
        <v>#VALUE!</v>
      </c>
      <c r="R62" s="36">
        <f t="shared" si="7"/>
        <v>0</v>
      </c>
      <c r="S62" s="24">
        <v>6226958917.0209513</v>
      </c>
      <c r="T62" s="24">
        <f t="shared" si="8"/>
        <v>93404383755.31427</v>
      </c>
      <c r="U62" s="23" t="e">
        <f t="shared" si="9"/>
        <v>#VALUE!</v>
      </c>
      <c r="V62" s="23" t="e">
        <f t="shared" si="10"/>
        <v>#VALUE!</v>
      </c>
      <c r="W62" s="23" t="e">
        <f t="shared" si="11"/>
        <v>#VALUE!</v>
      </c>
    </row>
    <row r="63" spans="1:23" ht="15" customHeight="1" x14ac:dyDescent="0.25">
      <c r="A63" s="19" t="s">
        <v>146</v>
      </c>
      <c r="B63" s="19" t="s">
        <v>147</v>
      </c>
      <c r="C63" s="19" t="s">
        <v>14</v>
      </c>
      <c r="D63" s="19" t="s">
        <v>32</v>
      </c>
      <c r="E63" s="19" t="s">
        <v>467</v>
      </c>
      <c r="F63" s="23">
        <v>68.964152792292879</v>
      </c>
      <c r="G63" s="24">
        <v>5741159</v>
      </c>
      <c r="H63" s="24">
        <v>9782455</v>
      </c>
      <c r="I63" s="23" t="s">
        <v>232</v>
      </c>
      <c r="J63" s="24" t="e">
        <f t="shared" si="0"/>
        <v>#VALUE!</v>
      </c>
      <c r="K63" s="36">
        <f t="shared" si="2"/>
        <v>0</v>
      </c>
      <c r="L63" s="23">
        <v>67.75170325510976</v>
      </c>
      <c r="M63" s="24" t="e">
        <f t="shared" si="1"/>
        <v>#VALUE!</v>
      </c>
      <c r="N63" s="19" t="e">
        <f t="shared" si="3"/>
        <v>#VALUE!</v>
      </c>
      <c r="O63" s="24" t="e">
        <f t="shared" si="4"/>
        <v>#VALUE!</v>
      </c>
      <c r="P63" s="24" t="e">
        <f t="shared" si="5"/>
        <v>#VALUE!</v>
      </c>
      <c r="Q63" s="24" t="e">
        <f t="shared" si="6"/>
        <v>#VALUE!</v>
      </c>
      <c r="R63" s="36">
        <f t="shared" si="7"/>
        <v>0</v>
      </c>
      <c r="S63" s="24">
        <v>76822965.242555067</v>
      </c>
      <c r="T63" s="24">
        <f t="shared" si="8"/>
        <v>1152344478.6383259</v>
      </c>
      <c r="U63" s="23" t="e">
        <f t="shared" si="9"/>
        <v>#VALUE!</v>
      </c>
      <c r="V63" s="23" t="e">
        <f t="shared" si="10"/>
        <v>#VALUE!</v>
      </c>
      <c r="W63" s="23" t="e">
        <f t="shared" si="11"/>
        <v>#VALUE!</v>
      </c>
    </row>
    <row r="64" spans="1:23" ht="15" customHeight="1" x14ac:dyDescent="0.25">
      <c r="A64" s="19" t="s">
        <v>148</v>
      </c>
      <c r="B64" s="19" t="s">
        <v>149</v>
      </c>
      <c r="C64" s="19" t="s">
        <v>45</v>
      </c>
      <c r="D64" s="19" t="s">
        <v>19</v>
      </c>
      <c r="E64" s="19" t="s">
        <v>232</v>
      </c>
      <c r="F64" s="23" t="s">
        <v>232</v>
      </c>
      <c r="G64" s="24">
        <v>1336887</v>
      </c>
      <c r="H64" s="24">
        <v>1212150</v>
      </c>
      <c r="I64" s="19">
        <v>99.1</v>
      </c>
      <c r="J64" s="24">
        <f t="shared" si="0"/>
        <v>10909.350000000009</v>
      </c>
      <c r="K64" s="36">
        <f t="shared" si="2"/>
        <v>10909.350000000009</v>
      </c>
      <c r="L64" s="23" t="s">
        <v>232</v>
      </c>
      <c r="M64" s="24" t="e">
        <f t="shared" si="1"/>
        <v>#VALUE!</v>
      </c>
      <c r="N64" s="19" t="e">
        <f t="shared" si="3"/>
        <v>#VALUE!</v>
      </c>
      <c r="O64" s="24" t="e">
        <f t="shared" si="4"/>
        <v>#VALUE!</v>
      </c>
      <c r="P64" s="24" t="e">
        <f t="shared" si="5"/>
        <v>#VALUE!</v>
      </c>
      <c r="Q64" s="24" t="e">
        <f t="shared" si="6"/>
        <v>#VALUE!</v>
      </c>
      <c r="R64" s="36">
        <f t="shared" si="7"/>
        <v>0</v>
      </c>
      <c r="S64" s="24">
        <v>524357312.05145437</v>
      </c>
      <c r="T64" s="24">
        <f t="shared" si="8"/>
        <v>7865359680.7718153</v>
      </c>
      <c r="U64" s="23" t="e">
        <f t="shared" si="9"/>
        <v>#VALUE!</v>
      </c>
      <c r="V64" s="23" t="e">
        <f t="shared" si="10"/>
        <v>#VALUE!</v>
      </c>
      <c r="W64" s="23" t="e">
        <f t="shared" si="11"/>
        <v>#VALUE!</v>
      </c>
    </row>
    <row r="65" spans="1:23" ht="15" customHeight="1" x14ac:dyDescent="0.25">
      <c r="A65" s="19" t="s">
        <v>150</v>
      </c>
      <c r="B65" s="19" t="s">
        <v>151</v>
      </c>
      <c r="C65" s="19" t="s">
        <v>14</v>
      </c>
      <c r="D65" s="19" t="s">
        <v>32</v>
      </c>
      <c r="E65" s="19" t="s">
        <v>467</v>
      </c>
      <c r="F65" s="23">
        <v>68.964152792292879</v>
      </c>
      <c r="G65" s="24">
        <v>87095281</v>
      </c>
      <c r="H65" s="24">
        <v>137669707</v>
      </c>
      <c r="I65" s="19">
        <v>47.8</v>
      </c>
      <c r="J65" s="24">
        <f t="shared" si="0"/>
        <v>71863587.054000005</v>
      </c>
      <c r="K65" s="36">
        <f t="shared" si="2"/>
        <v>71863587.054000005</v>
      </c>
      <c r="L65" s="23">
        <v>72.395309194717711</v>
      </c>
      <c r="M65" s="24">
        <f t="shared" si="1"/>
        <v>5202586604.6158428</v>
      </c>
      <c r="N65" s="19">
        <f t="shared" si="3"/>
        <v>1.8630000000000001E-2</v>
      </c>
      <c r="O65" s="24">
        <f t="shared" si="4"/>
        <v>96924188.443993151</v>
      </c>
      <c r="P65" s="24">
        <f t="shared" si="5"/>
        <v>145386282.66598973</v>
      </c>
      <c r="Q65" s="24">
        <f t="shared" si="6"/>
        <v>5347972887.2818327</v>
      </c>
      <c r="R65" s="36">
        <f t="shared" si="7"/>
        <v>5347972887.2818327</v>
      </c>
      <c r="S65" s="24">
        <v>5463318403.1045046</v>
      </c>
      <c r="T65" s="24">
        <f t="shared" si="8"/>
        <v>81949776046.567566</v>
      </c>
      <c r="U65" s="23">
        <f t="shared" si="9"/>
        <v>6.5259151949882979E-2</v>
      </c>
      <c r="V65" s="23">
        <f t="shared" si="10"/>
        <v>2.1753050649960991E-2</v>
      </c>
      <c r="W65" s="23">
        <f t="shared" si="11"/>
        <v>0.1957774558496489</v>
      </c>
    </row>
    <row r="66" spans="1:23" ht="15" customHeight="1" x14ac:dyDescent="0.25">
      <c r="A66" s="19" t="s">
        <v>152</v>
      </c>
      <c r="B66" s="19" t="s">
        <v>153</v>
      </c>
      <c r="C66" s="19" t="s">
        <v>29</v>
      </c>
      <c r="D66" s="19" t="s">
        <v>19</v>
      </c>
      <c r="E66" s="19" t="s">
        <v>232</v>
      </c>
      <c r="F66" s="23" t="s">
        <v>232</v>
      </c>
      <c r="G66" s="24">
        <v>49581</v>
      </c>
      <c r="H66" s="24">
        <v>51875</v>
      </c>
      <c r="I66" s="23" t="s">
        <v>232</v>
      </c>
      <c r="J66" s="24" t="e">
        <f t="shared" si="0"/>
        <v>#VALUE!</v>
      </c>
      <c r="K66" s="36">
        <f t="shared" si="2"/>
        <v>0</v>
      </c>
      <c r="L66" s="23" t="s">
        <v>232</v>
      </c>
      <c r="M66" s="24" t="e">
        <f t="shared" si="1"/>
        <v>#VALUE!</v>
      </c>
      <c r="N66" s="19" t="e">
        <f t="shared" si="3"/>
        <v>#VALUE!</v>
      </c>
      <c r="O66" s="24" t="e">
        <f t="shared" si="4"/>
        <v>#VALUE!</v>
      </c>
      <c r="P66" s="24" t="e">
        <f t="shared" si="5"/>
        <v>#VALUE!</v>
      </c>
      <c r="Q66" s="24" t="e">
        <f t="shared" si="6"/>
        <v>#VALUE!</v>
      </c>
      <c r="R66" s="36">
        <f t="shared" si="7"/>
        <v>0</v>
      </c>
      <c r="S66" s="23" t="s">
        <v>232</v>
      </c>
      <c r="T66" s="24" t="e">
        <f t="shared" si="8"/>
        <v>#VALUE!</v>
      </c>
      <c r="U66" s="23" t="e">
        <f t="shared" si="9"/>
        <v>#VALUE!</v>
      </c>
      <c r="V66" s="23" t="e">
        <f t="shared" si="10"/>
        <v>#VALUE!</v>
      </c>
      <c r="W66" s="23" t="e">
        <f t="shared" si="11"/>
        <v>#VALUE!</v>
      </c>
    </row>
    <row r="67" spans="1:23" ht="15" customHeight="1" x14ac:dyDescent="0.25">
      <c r="A67" s="19" t="s">
        <v>154</v>
      </c>
      <c r="B67" s="19" t="s">
        <v>155</v>
      </c>
      <c r="C67" s="19" t="s">
        <v>18</v>
      </c>
      <c r="D67" s="19" t="s">
        <v>26</v>
      </c>
      <c r="E67" s="19" t="s">
        <v>473</v>
      </c>
      <c r="F67" s="23">
        <v>162.92664529511597</v>
      </c>
      <c r="G67" s="24">
        <v>860559</v>
      </c>
      <c r="H67" s="24">
        <v>939469</v>
      </c>
      <c r="I67" s="19">
        <v>96.3</v>
      </c>
      <c r="J67" s="24">
        <f t="shared" ref="J67:J130" si="12">(1-(I67/100))*H67</f>
        <v>34760.353000000032</v>
      </c>
      <c r="K67" s="36">
        <f t="shared" si="2"/>
        <v>34760.353000000032</v>
      </c>
      <c r="L67" s="23">
        <v>416.66666666666669</v>
      </c>
      <c r="M67" s="24">
        <f t="shared" ref="M67:M130" si="13">J67*L67</f>
        <v>14483480.416666681</v>
      </c>
      <c r="N67" s="19">
        <f t="shared" si="3"/>
        <v>1.8630000000000001E-2</v>
      </c>
      <c r="O67" s="24">
        <f t="shared" si="4"/>
        <v>269827.2401625003</v>
      </c>
      <c r="P67" s="24">
        <f t="shared" si="5"/>
        <v>404740.86024375045</v>
      </c>
      <c r="Q67" s="24">
        <f t="shared" si="6"/>
        <v>14888221.276910432</v>
      </c>
      <c r="R67" s="36">
        <f t="shared" si="7"/>
        <v>14888221.276910432</v>
      </c>
      <c r="S67" s="24">
        <v>87317583.851148248</v>
      </c>
      <c r="T67" s="24">
        <f t="shared" si="8"/>
        <v>1309763757.7672238</v>
      </c>
      <c r="U67" s="23">
        <f t="shared" si="9"/>
        <v>1.1367104325966869E-2</v>
      </c>
      <c r="V67" s="23">
        <f t="shared" si="10"/>
        <v>3.7890347753222896E-3</v>
      </c>
      <c r="W67" s="23">
        <f t="shared" si="11"/>
        <v>3.4101312977900602E-2</v>
      </c>
    </row>
    <row r="68" spans="1:23" ht="15" customHeight="1" x14ac:dyDescent="0.25">
      <c r="A68" s="19" t="s">
        <v>156</v>
      </c>
      <c r="B68" s="19" t="s">
        <v>157</v>
      </c>
      <c r="C68" s="19" t="s">
        <v>45</v>
      </c>
      <c r="D68" s="19" t="s">
        <v>19</v>
      </c>
      <c r="E68" s="19" t="s">
        <v>232</v>
      </c>
      <c r="F68" s="23" t="s">
        <v>232</v>
      </c>
      <c r="G68" s="24">
        <v>5363352</v>
      </c>
      <c r="H68" s="24">
        <v>5649744</v>
      </c>
      <c r="I68" s="19">
        <v>100</v>
      </c>
      <c r="J68" s="24">
        <f t="shared" si="12"/>
        <v>0</v>
      </c>
      <c r="K68" s="36">
        <f t="shared" ref="K68:K131" si="14">IFERROR(J68,0)</f>
        <v>0</v>
      </c>
      <c r="L68" s="23" t="s">
        <v>232</v>
      </c>
      <c r="M68" s="24" t="e">
        <f t="shared" si="13"/>
        <v>#VALUE!</v>
      </c>
      <c r="N68" s="19" t="e">
        <f t="shared" ref="N68:N131" si="15">O68/M68</f>
        <v>#VALUE!</v>
      </c>
      <c r="O68" s="24" t="e">
        <f t="shared" ref="O68:O131" si="16">M68*0.01863</f>
        <v>#VALUE!</v>
      </c>
      <c r="P68" s="24" t="e">
        <f t="shared" ref="P68:P131" si="17">(O68/5)*7.5</f>
        <v>#VALUE!</v>
      </c>
      <c r="Q68" s="24" t="e">
        <f t="shared" ref="Q68:Q131" si="18">M68+P68</f>
        <v>#VALUE!</v>
      </c>
      <c r="R68" s="36">
        <f t="shared" ref="R68:R131" si="19">IFERROR(Q68,0)</f>
        <v>0</v>
      </c>
      <c r="S68" s="24">
        <v>3328745232.5822215</v>
      </c>
      <c r="T68" s="24">
        <f t="shared" ref="T68:T131" si="20">S68*15</f>
        <v>49931178488.733322</v>
      </c>
      <c r="U68" s="23" t="e">
        <f t="shared" ref="U68:U131" si="21">Q68/T68</f>
        <v>#VALUE!</v>
      </c>
      <c r="V68" s="23" t="e">
        <f t="shared" ref="V68:V131" si="22">(Q68/2)/(T68*1.5)</f>
        <v>#VALUE!</v>
      </c>
      <c r="W68" s="23" t="e">
        <f t="shared" ref="W68:W131" si="23">(Q68*1.5)/(T68/2)</f>
        <v>#VALUE!</v>
      </c>
    </row>
    <row r="69" spans="1:23" ht="15" customHeight="1" x14ac:dyDescent="0.25">
      <c r="A69" s="19" t="s">
        <v>158</v>
      </c>
      <c r="B69" s="19" t="s">
        <v>159</v>
      </c>
      <c r="C69" s="19" t="s">
        <v>45</v>
      </c>
      <c r="D69" s="19" t="s">
        <v>19</v>
      </c>
      <c r="E69" s="19" t="s">
        <v>232</v>
      </c>
      <c r="F69" s="23" t="s">
        <v>232</v>
      </c>
      <c r="G69" s="24">
        <v>65031235</v>
      </c>
      <c r="H69" s="24">
        <v>69286370</v>
      </c>
      <c r="I69" s="19">
        <v>100</v>
      </c>
      <c r="J69" s="24">
        <f t="shared" si="12"/>
        <v>0</v>
      </c>
      <c r="K69" s="36">
        <f t="shared" si="14"/>
        <v>0</v>
      </c>
      <c r="L69" s="23" t="s">
        <v>232</v>
      </c>
      <c r="M69" s="24" t="e">
        <f t="shared" si="13"/>
        <v>#VALUE!</v>
      </c>
      <c r="N69" s="19" t="e">
        <f t="shared" si="15"/>
        <v>#VALUE!</v>
      </c>
      <c r="O69" s="24" t="e">
        <f t="shared" si="16"/>
        <v>#VALUE!</v>
      </c>
      <c r="P69" s="24" t="e">
        <f t="shared" si="17"/>
        <v>#VALUE!</v>
      </c>
      <c r="Q69" s="24" t="e">
        <f t="shared" si="18"/>
        <v>#VALUE!</v>
      </c>
      <c r="R69" s="36">
        <f t="shared" si="19"/>
        <v>0</v>
      </c>
      <c r="S69" s="24">
        <v>4406730484.3344297</v>
      </c>
      <c r="T69" s="24">
        <f t="shared" si="20"/>
        <v>66100957265.016449</v>
      </c>
      <c r="U69" s="23" t="e">
        <f t="shared" si="21"/>
        <v>#VALUE!</v>
      </c>
      <c r="V69" s="23" t="e">
        <f t="shared" si="22"/>
        <v>#VALUE!</v>
      </c>
      <c r="W69" s="23" t="e">
        <f t="shared" si="23"/>
        <v>#VALUE!</v>
      </c>
    </row>
    <row r="70" spans="1:23" ht="15" customHeight="1" x14ac:dyDescent="0.25">
      <c r="A70" s="19" t="s">
        <v>160</v>
      </c>
      <c r="B70" s="19" t="s">
        <v>161</v>
      </c>
      <c r="C70" s="19" t="s">
        <v>29</v>
      </c>
      <c r="D70" s="19" t="s">
        <v>26</v>
      </c>
      <c r="E70" s="19" t="s">
        <v>473</v>
      </c>
      <c r="F70" s="23">
        <v>162.92664529511597</v>
      </c>
      <c r="G70" s="24">
        <v>268065</v>
      </c>
      <c r="H70" s="24">
        <v>318041</v>
      </c>
      <c r="I70" s="19">
        <v>100</v>
      </c>
      <c r="J70" s="24">
        <f t="shared" si="12"/>
        <v>0</v>
      </c>
      <c r="K70" s="36">
        <f t="shared" si="14"/>
        <v>0</v>
      </c>
      <c r="L70" s="23">
        <v>470.58823529411762</v>
      </c>
      <c r="M70" s="24">
        <f t="shared" si="13"/>
        <v>0</v>
      </c>
      <c r="N70" s="19" t="e">
        <f t="shared" si="15"/>
        <v>#DIV/0!</v>
      </c>
      <c r="O70" s="24">
        <f t="shared" si="16"/>
        <v>0</v>
      </c>
      <c r="P70" s="24">
        <f t="shared" si="17"/>
        <v>0</v>
      </c>
      <c r="Q70" s="24">
        <f t="shared" si="18"/>
        <v>0</v>
      </c>
      <c r="R70" s="36">
        <f t="shared" si="19"/>
        <v>0</v>
      </c>
      <c r="S70" s="23" t="s">
        <v>232</v>
      </c>
      <c r="T70" s="24" t="e">
        <f t="shared" si="20"/>
        <v>#VALUE!</v>
      </c>
      <c r="U70" s="23" t="e">
        <f t="shared" si="21"/>
        <v>#VALUE!</v>
      </c>
      <c r="V70" s="23" t="e">
        <f t="shared" si="22"/>
        <v>#VALUE!</v>
      </c>
      <c r="W70" s="23" t="e">
        <f t="shared" si="23"/>
        <v>#VALUE!</v>
      </c>
    </row>
    <row r="71" spans="1:23" ht="15" customHeight="1" x14ac:dyDescent="0.25">
      <c r="A71" s="19" t="s">
        <v>162</v>
      </c>
      <c r="B71" s="19" t="s">
        <v>163</v>
      </c>
      <c r="C71" s="19" t="s">
        <v>18</v>
      </c>
      <c r="D71" s="19" t="s">
        <v>32</v>
      </c>
      <c r="E71" s="19" t="s">
        <v>467</v>
      </c>
      <c r="F71" s="23">
        <v>68.964152792292879</v>
      </c>
      <c r="G71" s="24">
        <v>1556222</v>
      </c>
      <c r="H71" s="24">
        <v>2382369</v>
      </c>
      <c r="I71" s="19">
        <v>91.1</v>
      </c>
      <c r="J71" s="24">
        <f t="shared" si="12"/>
        <v>212030.84100000019</v>
      </c>
      <c r="K71" s="36">
        <f t="shared" si="14"/>
        <v>212030.84100000019</v>
      </c>
      <c r="L71" s="23">
        <v>288.34355828220856</v>
      </c>
      <c r="M71" s="24">
        <f t="shared" si="13"/>
        <v>61137727.159509249</v>
      </c>
      <c r="N71" s="19">
        <f t="shared" si="15"/>
        <v>1.8630000000000001E-2</v>
      </c>
      <c r="O71" s="24">
        <f t="shared" si="16"/>
        <v>1138995.8569816574</v>
      </c>
      <c r="P71" s="24">
        <f t="shared" si="17"/>
        <v>1708493.7854724862</v>
      </c>
      <c r="Q71" s="24">
        <f t="shared" si="18"/>
        <v>62846220.944981739</v>
      </c>
      <c r="R71" s="36">
        <f t="shared" si="19"/>
        <v>62846220.944981739</v>
      </c>
      <c r="S71" s="24">
        <v>6654882999.5966587</v>
      </c>
      <c r="T71" s="24">
        <f t="shared" si="20"/>
        <v>99823244993.949875</v>
      </c>
      <c r="U71" s="23">
        <f t="shared" si="21"/>
        <v>6.2957501480532662E-4</v>
      </c>
      <c r="V71" s="23">
        <f t="shared" si="22"/>
        <v>2.0985833826844222E-4</v>
      </c>
      <c r="W71" s="23">
        <f t="shared" si="23"/>
        <v>1.8887250444159797E-3</v>
      </c>
    </row>
    <row r="72" spans="1:23" ht="15" customHeight="1" x14ac:dyDescent="0.25">
      <c r="A72" s="19" t="s">
        <v>164</v>
      </c>
      <c r="B72" s="19" t="s">
        <v>165</v>
      </c>
      <c r="C72" s="19" t="s">
        <v>14</v>
      </c>
      <c r="D72" s="19" t="s">
        <v>32</v>
      </c>
      <c r="E72" s="19" t="s">
        <v>467</v>
      </c>
      <c r="F72" s="23">
        <v>68.964152792292879</v>
      </c>
      <c r="G72" s="24">
        <v>1680640</v>
      </c>
      <c r="H72" s="24">
        <v>3056357</v>
      </c>
      <c r="I72" s="19">
        <v>88.9</v>
      </c>
      <c r="J72" s="24">
        <f t="shared" si="12"/>
        <v>339255.62699999998</v>
      </c>
      <c r="K72" s="36">
        <f t="shared" si="14"/>
        <v>339255.62699999998</v>
      </c>
      <c r="L72" s="23">
        <v>68.964152792292879</v>
      </c>
      <c r="M72" s="24">
        <f t="shared" si="13"/>
        <v>23396476.896073122</v>
      </c>
      <c r="N72" s="19">
        <f t="shared" si="15"/>
        <v>1.8630000000000001E-2</v>
      </c>
      <c r="O72" s="24">
        <f t="shared" si="16"/>
        <v>435876.36457384226</v>
      </c>
      <c r="P72" s="24">
        <f t="shared" si="17"/>
        <v>653814.54686076345</v>
      </c>
      <c r="Q72" s="24">
        <f t="shared" si="18"/>
        <v>24050291.442933884</v>
      </c>
      <c r="R72" s="36">
        <f t="shared" si="19"/>
        <v>24050291.442933884</v>
      </c>
      <c r="S72" s="24">
        <v>45972784.152787477</v>
      </c>
      <c r="T72" s="24">
        <f t="shared" si="20"/>
        <v>689591762.29181218</v>
      </c>
      <c r="U72" s="23">
        <f t="shared" si="21"/>
        <v>3.4876129266690113E-2</v>
      </c>
      <c r="V72" s="23">
        <f t="shared" si="22"/>
        <v>1.1625376422230039E-2</v>
      </c>
      <c r="W72" s="23">
        <f t="shared" si="23"/>
        <v>0.10462838780007033</v>
      </c>
    </row>
    <row r="73" spans="1:23" ht="15" customHeight="1" x14ac:dyDescent="0.25">
      <c r="A73" s="19" t="s">
        <v>166</v>
      </c>
      <c r="B73" s="19" t="s">
        <v>167</v>
      </c>
      <c r="C73" s="19" t="s">
        <v>40</v>
      </c>
      <c r="D73" s="19" t="s">
        <v>19</v>
      </c>
      <c r="E73" s="19" t="s">
        <v>469</v>
      </c>
      <c r="F73" s="23">
        <v>270.56505523889945</v>
      </c>
      <c r="G73" s="24">
        <v>4452800</v>
      </c>
      <c r="H73" s="24">
        <v>3953077</v>
      </c>
      <c r="I73" s="19">
        <v>97.3</v>
      </c>
      <c r="J73" s="24">
        <f t="shared" si="12"/>
        <v>106733.0790000001</v>
      </c>
      <c r="K73" s="36">
        <f t="shared" si="14"/>
        <v>106733.0790000001</v>
      </c>
      <c r="L73" s="23">
        <f>F73</f>
        <v>270.56505523889945</v>
      </c>
      <c r="M73" s="24">
        <f t="shared" si="13"/>
        <v>28878241.415452845</v>
      </c>
      <c r="N73" s="19">
        <f t="shared" si="15"/>
        <v>1.8630000000000001E-2</v>
      </c>
      <c r="O73" s="24">
        <f t="shared" si="16"/>
        <v>538001.63756988652</v>
      </c>
      <c r="P73" s="24">
        <f t="shared" si="17"/>
        <v>807002.45635482972</v>
      </c>
      <c r="Q73" s="24">
        <f t="shared" si="18"/>
        <v>29685243.871807676</v>
      </c>
      <c r="R73" s="36">
        <f t="shared" si="19"/>
        <v>29685243.871807676</v>
      </c>
      <c r="S73" s="24">
        <v>123856542.27513833</v>
      </c>
      <c r="T73" s="24">
        <f t="shared" si="20"/>
        <v>1857848134.127075</v>
      </c>
      <c r="U73" s="23">
        <f t="shared" si="21"/>
        <v>1.5978294095472734E-2</v>
      </c>
      <c r="V73" s="23">
        <f t="shared" si="22"/>
        <v>5.3260980318242442E-3</v>
      </c>
      <c r="W73" s="23">
        <f t="shared" si="23"/>
        <v>4.79348822864182E-2</v>
      </c>
    </row>
    <row r="74" spans="1:23" ht="15" customHeight="1" x14ac:dyDescent="0.25">
      <c r="A74" s="19" t="s">
        <v>168</v>
      </c>
      <c r="B74" s="19" t="s">
        <v>169</v>
      </c>
      <c r="C74" s="19" t="s">
        <v>45</v>
      </c>
      <c r="D74" s="19" t="s">
        <v>19</v>
      </c>
      <c r="E74" s="19" t="s">
        <v>232</v>
      </c>
      <c r="F74" s="23" t="s">
        <v>232</v>
      </c>
      <c r="G74" s="24">
        <v>81776930</v>
      </c>
      <c r="H74" s="24">
        <v>79551501</v>
      </c>
      <c r="I74" s="19">
        <v>100</v>
      </c>
      <c r="J74" s="24">
        <f t="shared" si="12"/>
        <v>0</v>
      </c>
      <c r="K74" s="36">
        <f t="shared" si="14"/>
        <v>0</v>
      </c>
      <c r="L74" s="23" t="s">
        <v>232</v>
      </c>
      <c r="M74" s="24" t="e">
        <f t="shared" si="13"/>
        <v>#VALUE!</v>
      </c>
      <c r="N74" s="19" t="e">
        <f t="shared" si="15"/>
        <v>#VALUE!</v>
      </c>
      <c r="O74" s="24" t="e">
        <f t="shared" si="16"/>
        <v>#VALUE!</v>
      </c>
      <c r="P74" s="24" t="e">
        <f t="shared" si="17"/>
        <v>#VALUE!</v>
      </c>
      <c r="Q74" s="24" t="e">
        <f t="shared" si="18"/>
        <v>#VALUE!</v>
      </c>
      <c r="R74" s="36">
        <f t="shared" si="19"/>
        <v>0</v>
      </c>
      <c r="S74" s="24">
        <v>6763891296.0023947</v>
      </c>
      <c r="T74" s="24">
        <f t="shared" si="20"/>
        <v>101458369440.03592</v>
      </c>
      <c r="U74" s="23" t="e">
        <f t="shared" si="21"/>
        <v>#VALUE!</v>
      </c>
      <c r="V74" s="23" t="e">
        <f t="shared" si="22"/>
        <v>#VALUE!</v>
      </c>
      <c r="W74" s="23" t="e">
        <f t="shared" si="23"/>
        <v>#VALUE!</v>
      </c>
    </row>
    <row r="75" spans="1:23" ht="15" customHeight="1" x14ac:dyDescent="0.25">
      <c r="A75" s="19" t="s">
        <v>170</v>
      </c>
      <c r="B75" s="19" t="s">
        <v>171</v>
      </c>
      <c r="C75" s="19" t="s">
        <v>40</v>
      </c>
      <c r="D75" s="19" t="s">
        <v>32</v>
      </c>
      <c r="E75" s="19" t="s">
        <v>467</v>
      </c>
      <c r="F75" s="23">
        <v>68.964152792292879</v>
      </c>
      <c r="G75" s="24">
        <v>24262901</v>
      </c>
      <c r="H75" s="24">
        <v>35264291</v>
      </c>
      <c r="I75" s="19">
        <v>84.7</v>
      </c>
      <c r="J75" s="24">
        <f t="shared" si="12"/>
        <v>5395436.523000001</v>
      </c>
      <c r="K75" s="36">
        <f t="shared" si="14"/>
        <v>5395436.523000001</v>
      </c>
      <c r="L75" s="23">
        <v>44.400592007893437</v>
      </c>
      <c r="M75" s="24">
        <f t="shared" si="13"/>
        <v>239560575.76221019</v>
      </c>
      <c r="N75" s="19">
        <f t="shared" si="15"/>
        <v>1.8629999999999997E-2</v>
      </c>
      <c r="O75" s="24">
        <f t="shared" si="16"/>
        <v>4463013.5264499756</v>
      </c>
      <c r="P75" s="24">
        <f t="shared" si="17"/>
        <v>6694520.2896749629</v>
      </c>
      <c r="Q75" s="24">
        <f t="shared" si="18"/>
        <v>246255096.05188516</v>
      </c>
      <c r="R75" s="36">
        <f t="shared" si="19"/>
        <v>246255096.05188516</v>
      </c>
      <c r="S75" s="24">
        <v>4194607406.4218354</v>
      </c>
      <c r="T75" s="24">
        <f t="shared" si="20"/>
        <v>62919111096.32753</v>
      </c>
      <c r="U75" s="23">
        <f t="shared" si="21"/>
        <v>3.9138362217939629E-3</v>
      </c>
      <c r="V75" s="23">
        <f t="shared" si="22"/>
        <v>1.3046120739313208E-3</v>
      </c>
      <c r="W75" s="23">
        <f t="shared" si="23"/>
        <v>1.174150866538189E-2</v>
      </c>
    </row>
    <row r="76" spans="1:23" ht="15" customHeight="1" x14ac:dyDescent="0.25">
      <c r="A76" s="19" t="s">
        <v>172</v>
      </c>
      <c r="B76" s="19" t="s">
        <v>173</v>
      </c>
      <c r="C76" s="19" t="s">
        <v>45</v>
      </c>
      <c r="D76" s="19" t="s">
        <v>19</v>
      </c>
      <c r="E76" s="19" t="s">
        <v>232</v>
      </c>
      <c r="F76" s="23" t="s">
        <v>232</v>
      </c>
      <c r="G76" s="24">
        <v>11307502</v>
      </c>
      <c r="H76" s="24">
        <v>10975530</v>
      </c>
      <c r="I76" s="19">
        <v>99.8</v>
      </c>
      <c r="J76" s="24">
        <f t="shared" si="12"/>
        <v>21951.060000000019</v>
      </c>
      <c r="K76" s="36">
        <f t="shared" si="14"/>
        <v>21951.060000000019</v>
      </c>
      <c r="L76" s="23" t="s">
        <v>232</v>
      </c>
      <c r="M76" s="24" t="e">
        <f t="shared" si="13"/>
        <v>#VALUE!</v>
      </c>
      <c r="N76" s="19" t="e">
        <f t="shared" si="15"/>
        <v>#VALUE!</v>
      </c>
      <c r="O76" s="24" t="e">
        <f t="shared" si="16"/>
        <v>#VALUE!</v>
      </c>
      <c r="P76" s="24" t="e">
        <f t="shared" si="17"/>
        <v>#VALUE!</v>
      </c>
      <c r="Q76" s="24" t="e">
        <f t="shared" si="18"/>
        <v>#VALUE!</v>
      </c>
      <c r="R76" s="36">
        <f t="shared" si="19"/>
        <v>0</v>
      </c>
      <c r="S76" s="24">
        <v>629296452.81922984</v>
      </c>
      <c r="T76" s="24">
        <f t="shared" si="20"/>
        <v>9439446792.2884483</v>
      </c>
      <c r="U76" s="23" t="e">
        <f t="shared" si="21"/>
        <v>#VALUE!</v>
      </c>
      <c r="V76" s="23" t="e">
        <f t="shared" si="22"/>
        <v>#VALUE!</v>
      </c>
      <c r="W76" s="23" t="e">
        <f t="shared" si="23"/>
        <v>#VALUE!</v>
      </c>
    </row>
    <row r="77" spans="1:23" ht="15" customHeight="1" x14ac:dyDescent="0.25">
      <c r="A77" s="19" t="s">
        <v>174</v>
      </c>
      <c r="B77" s="19" t="s">
        <v>175</v>
      </c>
      <c r="C77" s="19" t="s">
        <v>29</v>
      </c>
      <c r="D77" s="19" t="s">
        <v>19</v>
      </c>
      <c r="E77" s="19" t="s">
        <v>232</v>
      </c>
      <c r="F77" s="23" t="s">
        <v>232</v>
      </c>
      <c r="G77" s="24">
        <v>56905</v>
      </c>
      <c r="H77" s="24">
        <v>54649</v>
      </c>
      <c r="I77" s="19">
        <v>100</v>
      </c>
      <c r="J77" s="24">
        <f t="shared" si="12"/>
        <v>0</v>
      </c>
      <c r="K77" s="36">
        <f t="shared" si="14"/>
        <v>0</v>
      </c>
      <c r="L77" s="23" t="s">
        <v>232</v>
      </c>
      <c r="M77" s="24" t="e">
        <f t="shared" si="13"/>
        <v>#VALUE!</v>
      </c>
      <c r="N77" s="19" t="e">
        <f t="shared" si="15"/>
        <v>#VALUE!</v>
      </c>
      <c r="O77" s="24" t="e">
        <f t="shared" si="16"/>
        <v>#VALUE!</v>
      </c>
      <c r="P77" s="24" t="e">
        <f t="shared" si="17"/>
        <v>#VALUE!</v>
      </c>
      <c r="Q77" s="24" t="e">
        <f t="shared" si="18"/>
        <v>#VALUE!</v>
      </c>
      <c r="R77" s="36">
        <f t="shared" si="19"/>
        <v>0</v>
      </c>
      <c r="S77" s="23" t="s">
        <v>232</v>
      </c>
      <c r="T77" s="24" t="e">
        <f t="shared" si="20"/>
        <v>#VALUE!</v>
      </c>
      <c r="U77" s="23" t="e">
        <f t="shared" si="21"/>
        <v>#VALUE!</v>
      </c>
      <c r="V77" s="23" t="e">
        <f t="shared" si="22"/>
        <v>#VALUE!</v>
      </c>
      <c r="W77" s="23" t="e">
        <f t="shared" si="23"/>
        <v>#VALUE!</v>
      </c>
    </row>
    <row r="78" spans="1:23" s="31" customFormat="1" ht="15" customHeight="1" x14ac:dyDescent="0.25">
      <c r="A78" s="31" t="s">
        <v>176</v>
      </c>
      <c r="B78" s="31" t="s">
        <v>177</v>
      </c>
      <c r="C78" s="31" t="s">
        <v>18</v>
      </c>
      <c r="D78" s="31" t="s">
        <v>35</v>
      </c>
      <c r="E78" s="31" t="s">
        <v>468</v>
      </c>
      <c r="F78" s="29">
        <v>457.1136934673367</v>
      </c>
      <c r="G78" s="30">
        <v>104677</v>
      </c>
      <c r="H78" s="30">
        <v>107433</v>
      </c>
      <c r="I78" s="31">
        <v>96.7</v>
      </c>
      <c r="J78" s="24">
        <f t="shared" si="12"/>
        <v>3545.2889999999911</v>
      </c>
      <c r="K78" s="36">
        <f t="shared" si="14"/>
        <v>3545.2889999999911</v>
      </c>
      <c r="L78" s="29">
        <v>333.33333333333331</v>
      </c>
      <c r="M78" s="24">
        <f t="shared" si="13"/>
        <v>1181762.999999997</v>
      </c>
      <c r="N78" s="19">
        <f t="shared" si="15"/>
        <v>1.8630000000000001E-2</v>
      </c>
      <c r="O78" s="24">
        <f t="shared" si="16"/>
        <v>22016.244689999945</v>
      </c>
      <c r="P78" s="24">
        <f t="shared" si="17"/>
        <v>33024.367034999916</v>
      </c>
      <c r="Q78" s="24">
        <f t="shared" si="18"/>
        <v>1214787.3670349969</v>
      </c>
      <c r="R78" s="36">
        <f t="shared" si="19"/>
        <v>1214787.3670349969</v>
      </c>
      <c r="S78" s="24">
        <v>0</v>
      </c>
      <c r="T78" s="24">
        <f t="shared" si="20"/>
        <v>0</v>
      </c>
      <c r="U78" s="23" t="e">
        <f t="shared" si="21"/>
        <v>#DIV/0!</v>
      </c>
      <c r="V78" s="23" t="e">
        <f t="shared" si="22"/>
        <v>#DIV/0!</v>
      </c>
      <c r="W78" s="23" t="e">
        <f t="shared" si="23"/>
        <v>#DIV/0!</v>
      </c>
    </row>
    <row r="79" spans="1:23" ht="15" customHeight="1" x14ac:dyDescent="0.25">
      <c r="A79" s="19" t="s">
        <v>178</v>
      </c>
      <c r="B79" s="19" t="s">
        <v>179</v>
      </c>
      <c r="C79" s="19" t="s">
        <v>29</v>
      </c>
      <c r="D79" s="19" t="s">
        <v>26</v>
      </c>
      <c r="E79" s="19" t="s">
        <v>473</v>
      </c>
      <c r="F79" s="23">
        <v>162.92664529511597</v>
      </c>
      <c r="G79" s="24">
        <v>159440</v>
      </c>
      <c r="H79" s="24">
        <v>200008</v>
      </c>
      <c r="I79" s="19">
        <v>99.5</v>
      </c>
      <c r="J79" s="24">
        <f t="shared" si="12"/>
        <v>1000.0400000000009</v>
      </c>
      <c r="K79" s="36">
        <f t="shared" si="14"/>
        <v>1000.0400000000009</v>
      </c>
      <c r="L79" s="23">
        <v>545.4545454545455</v>
      </c>
      <c r="M79" s="24">
        <f t="shared" si="13"/>
        <v>545476.36363636411</v>
      </c>
      <c r="N79" s="19">
        <f t="shared" si="15"/>
        <v>1.8630000000000001E-2</v>
      </c>
      <c r="O79" s="24">
        <f t="shared" si="16"/>
        <v>10162.224654545464</v>
      </c>
      <c r="P79" s="24">
        <f t="shared" si="17"/>
        <v>15243.336981818196</v>
      </c>
      <c r="Q79" s="24">
        <f t="shared" si="18"/>
        <v>560719.70061818231</v>
      </c>
      <c r="R79" s="36">
        <f t="shared" si="19"/>
        <v>560719.70061818231</v>
      </c>
      <c r="S79" s="23" t="s">
        <v>232</v>
      </c>
      <c r="T79" s="24" t="e">
        <f t="shared" si="20"/>
        <v>#VALUE!</v>
      </c>
      <c r="U79" s="23" t="e">
        <f t="shared" si="21"/>
        <v>#VALUE!</v>
      </c>
      <c r="V79" s="23" t="e">
        <f t="shared" si="22"/>
        <v>#VALUE!</v>
      </c>
      <c r="W79" s="23" t="e">
        <f t="shared" si="23"/>
        <v>#VALUE!</v>
      </c>
    </row>
    <row r="80" spans="1:23" ht="15" customHeight="1" x14ac:dyDescent="0.25">
      <c r="A80" s="19" t="s">
        <v>180</v>
      </c>
      <c r="B80" s="19" t="s">
        <v>181</v>
      </c>
      <c r="C80" s="19" t="s">
        <v>40</v>
      </c>
      <c r="D80" s="19" t="s">
        <v>35</v>
      </c>
      <c r="E80" s="19" t="s">
        <v>468</v>
      </c>
      <c r="F80" s="23">
        <v>457.1136934673367</v>
      </c>
      <c r="G80" s="24">
        <v>14341576</v>
      </c>
      <c r="H80" s="24">
        <v>22566243</v>
      </c>
      <c r="I80" s="19">
        <v>93.2</v>
      </c>
      <c r="J80" s="24">
        <f t="shared" si="12"/>
        <v>1534504.5239999988</v>
      </c>
      <c r="K80" s="36">
        <f t="shared" si="14"/>
        <v>1534504.5239999988</v>
      </c>
      <c r="L80" s="23">
        <v>371.25340599455041</v>
      </c>
      <c r="M80" s="24">
        <f t="shared" si="13"/>
        <v>569690031.04904592</v>
      </c>
      <c r="N80" s="19">
        <f t="shared" si="15"/>
        <v>1.8630000000000001E-2</v>
      </c>
      <c r="O80" s="24">
        <f t="shared" si="16"/>
        <v>10613325.278443726</v>
      </c>
      <c r="P80" s="24">
        <f t="shared" si="17"/>
        <v>15919987.91766559</v>
      </c>
      <c r="Q80" s="24">
        <f t="shared" si="18"/>
        <v>585610018.96671152</v>
      </c>
      <c r="R80" s="36">
        <f t="shared" si="19"/>
        <v>585610018.96671152</v>
      </c>
      <c r="S80" s="24">
        <v>1835017152.9300125</v>
      </c>
      <c r="T80" s="24">
        <f t="shared" si="20"/>
        <v>27525257293.950188</v>
      </c>
      <c r="U80" s="23">
        <f t="shared" si="21"/>
        <v>2.1275369480212761E-2</v>
      </c>
      <c r="V80" s="23">
        <f t="shared" si="22"/>
        <v>7.0917898267375875E-3</v>
      </c>
      <c r="W80" s="23">
        <f t="shared" si="23"/>
        <v>6.3826108440638282E-2</v>
      </c>
    </row>
    <row r="81" spans="1:23" ht="15" customHeight="1" x14ac:dyDescent="0.25">
      <c r="A81" s="19" t="s">
        <v>182</v>
      </c>
      <c r="B81" s="19" t="s">
        <v>183</v>
      </c>
      <c r="C81" s="19" t="s">
        <v>14</v>
      </c>
      <c r="D81" s="19" t="s">
        <v>32</v>
      </c>
      <c r="E81" s="19" t="s">
        <v>467</v>
      </c>
      <c r="F81" s="23">
        <v>68.964152792292879</v>
      </c>
      <c r="G81" s="24">
        <v>10876033</v>
      </c>
      <c r="H81" s="24">
        <v>17322136</v>
      </c>
      <c r="I81" s="19">
        <v>72.8</v>
      </c>
      <c r="J81" s="24">
        <f t="shared" si="12"/>
        <v>4711620.9920000006</v>
      </c>
      <c r="K81" s="36">
        <f t="shared" si="14"/>
        <v>4711620.9920000006</v>
      </c>
      <c r="L81" s="23">
        <v>171.56398104265404</v>
      </c>
      <c r="M81" s="24">
        <f t="shared" si="13"/>
        <v>808344454.55165887</v>
      </c>
      <c r="N81" s="19">
        <f t="shared" si="15"/>
        <v>1.8630000000000001E-2</v>
      </c>
      <c r="O81" s="24">
        <f t="shared" si="16"/>
        <v>15059457.188297406</v>
      </c>
      <c r="P81" s="24">
        <f t="shared" si="17"/>
        <v>22589185.782446109</v>
      </c>
      <c r="Q81" s="24">
        <f t="shared" si="18"/>
        <v>830933640.33410501</v>
      </c>
      <c r="R81" s="36">
        <f t="shared" si="19"/>
        <v>830933640.33410501</v>
      </c>
      <c r="S81" s="24">
        <v>1333953226.6564479</v>
      </c>
      <c r="T81" s="24">
        <f t="shared" si="20"/>
        <v>20009298399.846718</v>
      </c>
      <c r="U81" s="23">
        <f t="shared" si="21"/>
        <v>4.1527375109787476E-2</v>
      </c>
      <c r="V81" s="23">
        <f t="shared" si="22"/>
        <v>1.384245836992916E-2</v>
      </c>
      <c r="W81" s="23">
        <f t="shared" si="23"/>
        <v>0.12458212532936244</v>
      </c>
    </row>
    <row r="82" spans="1:23" ht="15" customHeight="1" x14ac:dyDescent="0.25">
      <c r="A82" s="19" t="s">
        <v>184</v>
      </c>
      <c r="B82" s="19" t="s">
        <v>185</v>
      </c>
      <c r="C82" s="19" t="s">
        <v>14</v>
      </c>
      <c r="D82" s="19" t="s">
        <v>32</v>
      </c>
      <c r="E82" s="19" t="s">
        <v>467</v>
      </c>
      <c r="F82" s="23">
        <v>68.964152792292879</v>
      </c>
      <c r="G82" s="24">
        <v>1586624</v>
      </c>
      <c r="H82" s="24">
        <v>2472642</v>
      </c>
      <c r="I82" s="19">
        <v>69.900000000000006</v>
      </c>
      <c r="J82" s="24">
        <f t="shared" si="12"/>
        <v>744265.24199999985</v>
      </c>
      <c r="K82" s="36">
        <f t="shared" si="14"/>
        <v>744265.24199999985</v>
      </c>
      <c r="L82" s="23">
        <v>166.4548919949174</v>
      </c>
      <c r="M82" s="24">
        <f t="shared" si="13"/>
        <v>123886590.47268105</v>
      </c>
      <c r="N82" s="19">
        <f t="shared" si="15"/>
        <v>1.8630000000000001E-2</v>
      </c>
      <c r="O82" s="24">
        <f t="shared" si="16"/>
        <v>2308007.1805060478</v>
      </c>
      <c r="P82" s="24">
        <f t="shared" si="17"/>
        <v>3462010.7707590717</v>
      </c>
      <c r="Q82" s="24">
        <f t="shared" si="18"/>
        <v>127348601.24344012</v>
      </c>
      <c r="R82" s="36">
        <f t="shared" si="19"/>
        <v>127348601.24344012</v>
      </c>
      <c r="S82" s="24">
        <v>142038641.37615088</v>
      </c>
      <c r="T82" s="24">
        <f t="shared" si="20"/>
        <v>2130579620.6422632</v>
      </c>
      <c r="U82" s="23">
        <f t="shared" si="21"/>
        <v>5.9771810454589298E-2</v>
      </c>
      <c r="V82" s="23">
        <f t="shared" si="22"/>
        <v>1.9923936818196434E-2</v>
      </c>
      <c r="W82" s="23">
        <f t="shared" si="23"/>
        <v>0.17931543136376787</v>
      </c>
    </row>
    <row r="83" spans="1:23" ht="15" customHeight="1" x14ac:dyDescent="0.25">
      <c r="A83" s="19" t="s">
        <v>186</v>
      </c>
      <c r="B83" s="19" t="s">
        <v>187</v>
      </c>
      <c r="C83" s="19" t="s">
        <v>40</v>
      </c>
      <c r="D83" s="19" t="s">
        <v>35</v>
      </c>
      <c r="E83" s="19" t="s">
        <v>468</v>
      </c>
      <c r="F83" s="23">
        <v>457.1136934673367</v>
      </c>
      <c r="G83" s="24">
        <v>786126</v>
      </c>
      <c r="H83" s="24">
        <v>852670</v>
      </c>
      <c r="I83" s="19">
        <v>96.5</v>
      </c>
      <c r="J83" s="24">
        <f t="shared" si="12"/>
        <v>29843.450000000026</v>
      </c>
      <c r="K83" s="36">
        <f t="shared" si="14"/>
        <v>29843.450000000026</v>
      </c>
      <c r="L83" s="23">
        <v>228.57142857142858</v>
      </c>
      <c r="M83" s="24">
        <f t="shared" si="13"/>
        <v>6821360.0000000065</v>
      </c>
      <c r="N83" s="19">
        <f t="shared" si="15"/>
        <v>1.8630000000000001E-2</v>
      </c>
      <c r="O83" s="24">
        <f t="shared" si="16"/>
        <v>127081.93680000013</v>
      </c>
      <c r="P83" s="24">
        <f t="shared" si="17"/>
        <v>190622.90520000018</v>
      </c>
      <c r="Q83" s="24">
        <f t="shared" si="18"/>
        <v>7011982.9052000064</v>
      </c>
      <c r="R83" s="36">
        <f t="shared" si="19"/>
        <v>7011982.9052000064</v>
      </c>
      <c r="S83" s="24">
        <v>405082963.00590253</v>
      </c>
      <c r="T83" s="24">
        <f t="shared" si="20"/>
        <v>6076244445.0885382</v>
      </c>
      <c r="U83" s="23">
        <f t="shared" si="21"/>
        <v>1.1539994759209912E-3</v>
      </c>
      <c r="V83" s="23">
        <f t="shared" si="22"/>
        <v>3.8466649197366372E-4</v>
      </c>
      <c r="W83" s="23">
        <f t="shared" si="23"/>
        <v>3.4619984277629735E-3</v>
      </c>
    </row>
    <row r="84" spans="1:23" ht="15" customHeight="1" x14ac:dyDescent="0.25">
      <c r="A84" s="19" t="s">
        <v>188</v>
      </c>
      <c r="B84" s="19" t="s">
        <v>189</v>
      </c>
      <c r="C84" s="19" t="s">
        <v>14</v>
      </c>
      <c r="D84" s="19" t="s">
        <v>35</v>
      </c>
      <c r="E84" s="19" t="s">
        <v>468</v>
      </c>
      <c r="F84" s="23">
        <v>457.1136934673367</v>
      </c>
      <c r="G84" s="24">
        <v>9896400</v>
      </c>
      <c r="H84" s="24">
        <v>12536811</v>
      </c>
      <c r="I84" s="19">
        <v>62.4</v>
      </c>
      <c r="J84" s="24">
        <f t="shared" si="12"/>
        <v>4713840.9359999998</v>
      </c>
      <c r="K84" s="36">
        <f t="shared" si="14"/>
        <v>4713840.9359999998</v>
      </c>
      <c r="L84" s="23">
        <v>219.33728981206727</v>
      </c>
      <c r="M84" s="24">
        <f t="shared" si="13"/>
        <v>1033921095.5074184</v>
      </c>
      <c r="N84" s="19">
        <f t="shared" si="15"/>
        <v>1.8630000000000001E-2</v>
      </c>
      <c r="O84" s="24">
        <f t="shared" si="16"/>
        <v>19261950.009303205</v>
      </c>
      <c r="P84" s="24">
        <f t="shared" si="17"/>
        <v>28892925.013954807</v>
      </c>
      <c r="Q84" s="24">
        <f t="shared" si="18"/>
        <v>1062814020.5213732</v>
      </c>
      <c r="R84" s="36">
        <f t="shared" si="19"/>
        <v>1062814020.5213732</v>
      </c>
      <c r="S84" s="24">
        <v>161012362.10944861</v>
      </c>
      <c r="T84" s="24">
        <f t="shared" si="20"/>
        <v>2415185431.6417294</v>
      </c>
      <c r="U84" s="23">
        <f t="shared" si="21"/>
        <v>0.44005483247674371</v>
      </c>
      <c r="V84" s="23">
        <f t="shared" si="22"/>
        <v>0.14668494415891456</v>
      </c>
      <c r="W84" s="23">
        <f t="shared" si="23"/>
        <v>1.3201644974302311</v>
      </c>
    </row>
    <row r="85" spans="1:23" ht="15" customHeight="1" x14ac:dyDescent="0.25">
      <c r="A85" s="19" t="s">
        <v>190</v>
      </c>
      <c r="B85" s="19" t="s">
        <v>191</v>
      </c>
      <c r="C85" s="19" t="s">
        <v>40</v>
      </c>
      <c r="D85" s="19" t="s">
        <v>35</v>
      </c>
      <c r="E85" s="19" t="s">
        <v>468</v>
      </c>
      <c r="F85" s="23">
        <v>457.1136934673367</v>
      </c>
      <c r="G85" s="24">
        <v>7621204</v>
      </c>
      <c r="H85" s="24">
        <v>10811004</v>
      </c>
      <c r="I85" s="19">
        <v>88.2</v>
      </c>
      <c r="J85" s="24">
        <f t="shared" si="12"/>
        <v>1275698.4719999998</v>
      </c>
      <c r="K85" s="36">
        <f t="shared" si="14"/>
        <v>1275698.4719999998</v>
      </c>
      <c r="L85" s="23">
        <v>394.70782800441015</v>
      </c>
      <c r="M85" s="24">
        <f t="shared" si="13"/>
        <v>503528173.07166475</v>
      </c>
      <c r="N85" s="19">
        <f t="shared" si="15"/>
        <v>1.8630000000000001E-2</v>
      </c>
      <c r="O85" s="24">
        <f t="shared" si="16"/>
        <v>9380729.8643251155</v>
      </c>
      <c r="P85" s="24">
        <f t="shared" si="17"/>
        <v>14071094.796487674</v>
      </c>
      <c r="Q85" s="24">
        <f t="shared" si="18"/>
        <v>517599267.86815244</v>
      </c>
      <c r="R85" s="36">
        <f t="shared" si="19"/>
        <v>517599267.86815244</v>
      </c>
      <c r="S85" s="24">
        <v>717924436.29793561</v>
      </c>
      <c r="T85" s="24">
        <f t="shared" si="20"/>
        <v>10768866544.469034</v>
      </c>
      <c r="U85" s="23">
        <f t="shared" si="21"/>
        <v>4.8064414739543322E-2</v>
      </c>
      <c r="V85" s="23">
        <f t="shared" si="22"/>
        <v>1.6021471579847773E-2</v>
      </c>
      <c r="W85" s="23">
        <f t="shared" si="23"/>
        <v>0.14419324421862997</v>
      </c>
    </row>
    <row r="86" spans="1:23" ht="15" customHeight="1" x14ac:dyDescent="0.25">
      <c r="A86" s="19" t="s">
        <v>192</v>
      </c>
      <c r="B86" s="19" t="s">
        <v>193</v>
      </c>
      <c r="C86" s="19" t="s">
        <v>29</v>
      </c>
      <c r="D86" s="19" t="s">
        <v>26</v>
      </c>
      <c r="E86" s="19" t="s">
        <v>232</v>
      </c>
      <c r="F86" s="23">
        <v>162.92664529511597</v>
      </c>
      <c r="G86" s="24">
        <v>7024200</v>
      </c>
      <c r="H86" s="24">
        <v>7885155</v>
      </c>
      <c r="I86" s="23" t="s">
        <v>232</v>
      </c>
      <c r="J86" s="24" t="e">
        <f t="shared" si="12"/>
        <v>#VALUE!</v>
      </c>
      <c r="K86" s="36">
        <f t="shared" si="14"/>
        <v>0</v>
      </c>
      <c r="L86" s="23" t="s">
        <v>232</v>
      </c>
      <c r="M86" s="24" t="e">
        <f t="shared" si="13"/>
        <v>#VALUE!</v>
      </c>
      <c r="N86" s="19" t="e">
        <f t="shared" si="15"/>
        <v>#VALUE!</v>
      </c>
      <c r="O86" s="24" t="e">
        <f t="shared" si="16"/>
        <v>#VALUE!</v>
      </c>
      <c r="P86" s="24" t="e">
        <f t="shared" si="17"/>
        <v>#VALUE!</v>
      </c>
      <c r="Q86" s="24" t="e">
        <f t="shared" si="18"/>
        <v>#VALUE!</v>
      </c>
      <c r="R86" s="36">
        <f t="shared" si="19"/>
        <v>0</v>
      </c>
      <c r="S86" s="24">
        <v>3134453.5797919827</v>
      </c>
      <c r="T86" s="24">
        <f t="shared" si="20"/>
        <v>47016803.696879737</v>
      </c>
      <c r="U86" s="23" t="e">
        <f t="shared" si="21"/>
        <v>#VALUE!</v>
      </c>
      <c r="V86" s="23" t="e">
        <f t="shared" si="22"/>
        <v>#VALUE!</v>
      </c>
      <c r="W86" s="23" t="e">
        <f t="shared" si="23"/>
        <v>#VALUE!</v>
      </c>
    </row>
    <row r="87" spans="1:23" ht="15" customHeight="1" x14ac:dyDescent="0.25">
      <c r="A87" s="19" t="s">
        <v>194</v>
      </c>
      <c r="B87" s="19" t="s">
        <v>195</v>
      </c>
      <c r="C87" s="19" t="s">
        <v>18</v>
      </c>
      <c r="D87" s="19" t="s">
        <v>19</v>
      </c>
      <c r="E87" s="19" t="s">
        <v>232</v>
      </c>
      <c r="F87" s="23" t="s">
        <v>232</v>
      </c>
      <c r="G87" s="24">
        <v>10000023</v>
      </c>
      <c r="H87" s="24">
        <v>9525243</v>
      </c>
      <c r="I87" s="19">
        <v>100</v>
      </c>
      <c r="J87" s="24">
        <f t="shared" si="12"/>
        <v>0</v>
      </c>
      <c r="K87" s="36">
        <f t="shared" si="14"/>
        <v>0</v>
      </c>
      <c r="L87" s="23" t="s">
        <v>232</v>
      </c>
      <c r="M87" s="24" t="e">
        <f t="shared" si="13"/>
        <v>#VALUE!</v>
      </c>
      <c r="N87" s="19" t="e">
        <f t="shared" si="15"/>
        <v>#VALUE!</v>
      </c>
      <c r="O87" s="24" t="e">
        <f t="shared" si="16"/>
        <v>#VALUE!</v>
      </c>
      <c r="P87" s="24" t="e">
        <f t="shared" si="17"/>
        <v>#VALUE!</v>
      </c>
      <c r="Q87" s="24" t="e">
        <f t="shared" si="18"/>
        <v>#VALUE!</v>
      </c>
      <c r="R87" s="36">
        <f t="shared" si="19"/>
        <v>0</v>
      </c>
      <c r="S87" s="24">
        <v>1095685098.3472166</v>
      </c>
      <c r="T87" s="24">
        <f t="shared" si="20"/>
        <v>16435276475.208248</v>
      </c>
      <c r="U87" s="23" t="e">
        <f t="shared" si="21"/>
        <v>#VALUE!</v>
      </c>
      <c r="V87" s="23" t="e">
        <f t="shared" si="22"/>
        <v>#VALUE!</v>
      </c>
      <c r="W87" s="23" t="e">
        <f t="shared" si="23"/>
        <v>#VALUE!</v>
      </c>
    </row>
    <row r="88" spans="1:23" ht="15" customHeight="1" x14ac:dyDescent="0.25">
      <c r="A88" s="19" t="s">
        <v>196</v>
      </c>
      <c r="B88" s="19" t="s">
        <v>197</v>
      </c>
      <c r="C88" s="19" t="s">
        <v>45</v>
      </c>
      <c r="D88" s="19" t="s">
        <v>19</v>
      </c>
      <c r="E88" s="19" t="s">
        <v>232</v>
      </c>
      <c r="F88" s="23" t="s">
        <v>232</v>
      </c>
      <c r="G88" s="24">
        <v>318041</v>
      </c>
      <c r="H88" s="24">
        <v>383558</v>
      </c>
      <c r="I88" s="19">
        <v>100</v>
      </c>
      <c r="J88" s="24">
        <f t="shared" si="12"/>
        <v>0</v>
      </c>
      <c r="K88" s="36">
        <f t="shared" si="14"/>
        <v>0</v>
      </c>
      <c r="L88" s="23" t="s">
        <v>232</v>
      </c>
      <c r="M88" s="24" t="e">
        <f t="shared" si="13"/>
        <v>#VALUE!</v>
      </c>
      <c r="N88" s="19" t="e">
        <f t="shared" si="15"/>
        <v>#VALUE!</v>
      </c>
      <c r="O88" s="24" t="e">
        <f t="shared" si="16"/>
        <v>#VALUE!</v>
      </c>
      <c r="P88" s="24" t="e">
        <f t="shared" si="17"/>
        <v>#VALUE!</v>
      </c>
      <c r="Q88" s="24" t="e">
        <f t="shared" si="18"/>
        <v>#VALUE!</v>
      </c>
      <c r="R88" s="36">
        <f t="shared" si="19"/>
        <v>0</v>
      </c>
      <c r="S88" s="24">
        <v>0</v>
      </c>
      <c r="T88" s="24">
        <f t="shared" si="20"/>
        <v>0</v>
      </c>
      <c r="U88" s="23" t="e">
        <f t="shared" si="21"/>
        <v>#VALUE!</v>
      </c>
      <c r="V88" s="23" t="e">
        <f t="shared" si="22"/>
        <v>#VALUE!</v>
      </c>
      <c r="W88" s="23" t="e">
        <f t="shared" si="23"/>
        <v>#VALUE!</v>
      </c>
    </row>
    <row r="89" spans="1:23" ht="15" customHeight="1" x14ac:dyDescent="0.25">
      <c r="A89" s="19" t="s">
        <v>198</v>
      </c>
      <c r="B89" s="19" t="s">
        <v>199</v>
      </c>
      <c r="C89" s="19" t="s">
        <v>40</v>
      </c>
      <c r="D89" s="19" t="s">
        <v>15</v>
      </c>
      <c r="E89" s="19" t="s">
        <v>465</v>
      </c>
      <c r="F89" s="23">
        <v>25.998990717254753</v>
      </c>
      <c r="G89" s="24">
        <v>1205624648</v>
      </c>
      <c r="H89" s="24">
        <v>1476377903</v>
      </c>
      <c r="I89" s="19">
        <v>90.7</v>
      </c>
      <c r="J89" s="24">
        <f t="shared" si="12"/>
        <v>137303144.97899997</v>
      </c>
      <c r="K89" s="36">
        <f t="shared" si="14"/>
        <v>137303144.97899997</v>
      </c>
      <c r="L89" s="23">
        <v>21.495640688329189</v>
      </c>
      <c r="M89" s="24">
        <f t="shared" si="13"/>
        <v>2951419069.8461533</v>
      </c>
      <c r="N89" s="19">
        <f t="shared" si="15"/>
        <v>1.8630000000000001E-2</v>
      </c>
      <c r="O89" s="24">
        <f t="shared" si="16"/>
        <v>54984937.271233834</v>
      </c>
      <c r="P89" s="24">
        <f t="shared" si="17"/>
        <v>82477405.906850755</v>
      </c>
      <c r="Q89" s="24">
        <f t="shared" si="18"/>
        <v>3033896475.7530041</v>
      </c>
      <c r="R89" s="36">
        <f t="shared" si="19"/>
        <v>3033896475.7530041</v>
      </c>
      <c r="S89" s="24">
        <v>106120979971.95012</v>
      </c>
      <c r="T89" s="24">
        <f t="shared" si="20"/>
        <v>1591814699579.2517</v>
      </c>
      <c r="U89" s="23">
        <f t="shared" si="21"/>
        <v>1.9059357075637781E-3</v>
      </c>
      <c r="V89" s="23">
        <f t="shared" si="22"/>
        <v>6.3531190252125939E-4</v>
      </c>
      <c r="W89" s="23">
        <f t="shared" si="23"/>
        <v>5.7178071226913346E-3</v>
      </c>
    </row>
    <row r="90" spans="1:23" ht="15" customHeight="1" x14ac:dyDescent="0.25">
      <c r="A90" s="19" t="s">
        <v>200</v>
      </c>
      <c r="B90" s="19" t="s">
        <v>201</v>
      </c>
      <c r="C90" s="19" t="s">
        <v>40</v>
      </c>
      <c r="D90" s="19" t="s">
        <v>26</v>
      </c>
      <c r="E90" s="19" t="s">
        <v>471</v>
      </c>
      <c r="F90" s="23">
        <v>286.39139284675775</v>
      </c>
      <c r="G90" s="24">
        <v>240676485</v>
      </c>
      <c r="H90" s="24">
        <v>293482460</v>
      </c>
      <c r="I90" s="19">
        <v>83.8</v>
      </c>
      <c r="J90" s="24">
        <f t="shared" si="12"/>
        <v>47544158.520000011</v>
      </c>
      <c r="K90" s="36">
        <f t="shared" si="14"/>
        <v>47544158.520000011</v>
      </c>
      <c r="L90" s="23">
        <v>275.0961557824362</v>
      </c>
      <c r="M90" s="24">
        <f t="shared" si="13"/>
        <v>13079215238.762764</v>
      </c>
      <c r="N90" s="19">
        <f t="shared" si="15"/>
        <v>1.8630000000000001E-2</v>
      </c>
      <c r="O90" s="24">
        <f t="shared" si="16"/>
        <v>243665779.8981503</v>
      </c>
      <c r="P90" s="24">
        <f t="shared" si="17"/>
        <v>365498669.84722543</v>
      </c>
      <c r="Q90" s="24">
        <f t="shared" si="18"/>
        <v>13444713908.609989</v>
      </c>
      <c r="R90" s="36">
        <f t="shared" si="19"/>
        <v>13444713908.609989</v>
      </c>
      <c r="S90" s="24">
        <v>59899197819.567902</v>
      </c>
      <c r="T90" s="24">
        <f t="shared" si="20"/>
        <v>898487967293.51855</v>
      </c>
      <c r="U90" s="23">
        <f t="shared" si="21"/>
        <v>1.4963710587142302E-2</v>
      </c>
      <c r="V90" s="23">
        <f t="shared" si="22"/>
        <v>4.9879035290474336E-3</v>
      </c>
      <c r="W90" s="23">
        <f t="shared" si="23"/>
        <v>4.4891131761426908E-2</v>
      </c>
    </row>
    <row r="91" spans="1:23" ht="15" customHeight="1" x14ac:dyDescent="0.25">
      <c r="A91" s="19" t="s">
        <v>202</v>
      </c>
      <c r="B91" s="19" t="s">
        <v>203</v>
      </c>
      <c r="C91" s="19" t="s">
        <v>18</v>
      </c>
      <c r="D91" s="19" t="s">
        <v>22</v>
      </c>
      <c r="E91" s="19" t="s">
        <v>465</v>
      </c>
      <c r="F91" s="23">
        <v>25.998990717254753</v>
      </c>
      <c r="G91" s="24">
        <v>74462314</v>
      </c>
      <c r="H91" s="24">
        <v>91336270</v>
      </c>
      <c r="I91" s="19">
        <v>95.7</v>
      </c>
      <c r="J91" s="24">
        <f t="shared" si="12"/>
        <v>3927459.6099999934</v>
      </c>
      <c r="K91" s="36">
        <f t="shared" si="14"/>
        <v>3927459.6099999934</v>
      </c>
      <c r="L91" s="23">
        <v>25.998990717254753</v>
      </c>
      <c r="M91" s="24">
        <f t="shared" si="13"/>
        <v>102109985.9427828</v>
      </c>
      <c r="N91" s="19">
        <f t="shared" si="15"/>
        <v>1.8630000000000001E-2</v>
      </c>
      <c r="O91" s="24">
        <f t="shared" si="16"/>
        <v>1902309.0381140437</v>
      </c>
      <c r="P91" s="24">
        <f t="shared" si="17"/>
        <v>2853463.5571710654</v>
      </c>
      <c r="Q91" s="24">
        <f t="shared" si="18"/>
        <v>104963449.49995387</v>
      </c>
      <c r="R91" s="36">
        <f t="shared" si="19"/>
        <v>104963449.49995387</v>
      </c>
      <c r="S91" s="24">
        <v>130357567150.05748</v>
      </c>
      <c r="T91" s="24">
        <f t="shared" si="20"/>
        <v>1955363507250.8623</v>
      </c>
      <c r="U91" s="23">
        <f t="shared" si="21"/>
        <v>5.3679762924248765E-5</v>
      </c>
      <c r="V91" s="23">
        <f t="shared" si="22"/>
        <v>1.789325430808292E-5</v>
      </c>
      <c r="W91" s="23">
        <f t="shared" si="23"/>
        <v>1.6103928877274628E-4</v>
      </c>
    </row>
    <row r="92" spans="1:23" ht="15" customHeight="1" x14ac:dyDescent="0.25">
      <c r="A92" s="19" t="s">
        <v>204</v>
      </c>
      <c r="B92" s="19" t="s">
        <v>205</v>
      </c>
      <c r="C92" s="19" t="s">
        <v>18</v>
      </c>
      <c r="D92" s="19" t="s">
        <v>22</v>
      </c>
      <c r="E92" s="19" t="s">
        <v>474</v>
      </c>
      <c r="F92" s="23">
        <v>463.55505996404435</v>
      </c>
      <c r="G92" s="24">
        <v>30962380</v>
      </c>
      <c r="H92" s="24">
        <v>50966609</v>
      </c>
      <c r="I92" s="19">
        <v>84.4</v>
      </c>
      <c r="J92" s="24">
        <f t="shared" si="12"/>
        <v>7950791.003999996</v>
      </c>
      <c r="K92" s="36">
        <f t="shared" si="14"/>
        <v>7950791.003999996</v>
      </c>
      <c r="L92" s="23">
        <v>412.47374668980001</v>
      </c>
      <c r="M92" s="24">
        <f t="shared" si="13"/>
        <v>3279492554.5674353</v>
      </c>
      <c r="N92" s="19">
        <f t="shared" si="15"/>
        <v>1.8630000000000001E-2</v>
      </c>
      <c r="O92" s="24">
        <f t="shared" si="16"/>
        <v>61096946.291591324</v>
      </c>
      <c r="P92" s="24">
        <f t="shared" si="17"/>
        <v>91645419.437386975</v>
      </c>
      <c r="Q92" s="24">
        <f t="shared" si="18"/>
        <v>3371137974.0048223</v>
      </c>
      <c r="R92" s="36">
        <f t="shared" si="19"/>
        <v>3371137974.0048223</v>
      </c>
      <c r="S92" s="24">
        <v>60551177603.513367</v>
      </c>
      <c r="T92" s="24">
        <f t="shared" si="20"/>
        <v>908267664052.70044</v>
      </c>
      <c r="U92" s="23">
        <f t="shared" si="21"/>
        <v>3.7116128949948157E-3</v>
      </c>
      <c r="V92" s="23">
        <f t="shared" si="22"/>
        <v>1.2372042983316051E-3</v>
      </c>
      <c r="W92" s="23">
        <f t="shared" si="23"/>
        <v>1.1134838684984449E-2</v>
      </c>
    </row>
    <row r="93" spans="1:23" ht="15" customHeight="1" x14ac:dyDescent="0.25">
      <c r="A93" s="19" t="s">
        <v>206</v>
      </c>
      <c r="B93" s="19" t="s">
        <v>207</v>
      </c>
      <c r="C93" s="19" t="s">
        <v>45</v>
      </c>
      <c r="D93" s="19" t="s">
        <v>19</v>
      </c>
      <c r="E93" s="19" t="s">
        <v>232</v>
      </c>
      <c r="F93" s="23" t="s">
        <v>232</v>
      </c>
      <c r="G93" s="24">
        <v>4560155</v>
      </c>
      <c r="H93" s="24">
        <v>5346841</v>
      </c>
      <c r="I93" s="19">
        <v>99.9</v>
      </c>
      <c r="J93" s="24">
        <f t="shared" si="12"/>
        <v>5346.840999999411</v>
      </c>
      <c r="K93" s="36">
        <f t="shared" si="14"/>
        <v>5346.840999999411</v>
      </c>
      <c r="L93" s="23" t="s">
        <v>232</v>
      </c>
      <c r="M93" s="24" t="e">
        <f t="shared" si="13"/>
        <v>#VALUE!</v>
      </c>
      <c r="N93" s="19" t="e">
        <f t="shared" si="15"/>
        <v>#VALUE!</v>
      </c>
      <c r="O93" s="24" t="e">
        <f t="shared" si="16"/>
        <v>#VALUE!</v>
      </c>
      <c r="P93" s="24" t="e">
        <f t="shared" si="17"/>
        <v>#VALUE!</v>
      </c>
      <c r="Q93" s="24" t="e">
        <f t="shared" si="18"/>
        <v>#VALUE!</v>
      </c>
      <c r="R93" s="36">
        <f t="shared" si="19"/>
        <v>0</v>
      </c>
      <c r="S93" s="24">
        <v>414476099.13160717</v>
      </c>
      <c r="T93" s="24">
        <f t="shared" si="20"/>
        <v>6217141486.9741077</v>
      </c>
      <c r="U93" s="23" t="e">
        <f t="shared" si="21"/>
        <v>#VALUE!</v>
      </c>
      <c r="V93" s="23" t="e">
        <f t="shared" si="22"/>
        <v>#VALUE!</v>
      </c>
      <c r="W93" s="23" t="e">
        <f t="shared" si="23"/>
        <v>#VALUE!</v>
      </c>
    </row>
    <row r="94" spans="1:23" ht="15" customHeight="1" x14ac:dyDescent="0.25">
      <c r="A94" s="19" t="s">
        <v>208</v>
      </c>
      <c r="B94" s="19" t="s">
        <v>209</v>
      </c>
      <c r="C94" s="19" t="s">
        <v>29</v>
      </c>
      <c r="D94" s="19" t="s">
        <v>19</v>
      </c>
      <c r="E94" s="19" t="s">
        <v>232</v>
      </c>
      <c r="F94" s="23" t="s">
        <v>232</v>
      </c>
      <c r="G94" s="24">
        <v>83992</v>
      </c>
      <c r="H94" s="24">
        <v>94237</v>
      </c>
      <c r="I94" s="23" t="s">
        <v>232</v>
      </c>
      <c r="J94" s="24" t="e">
        <f t="shared" si="12"/>
        <v>#VALUE!</v>
      </c>
      <c r="K94" s="36">
        <f t="shared" si="14"/>
        <v>0</v>
      </c>
      <c r="L94" s="23" t="s">
        <v>232</v>
      </c>
      <c r="M94" s="24" t="e">
        <f t="shared" si="13"/>
        <v>#VALUE!</v>
      </c>
      <c r="N94" s="19" t="e">
        <f t="shared" si="15"/>
        <v>#VALUE!</v>
      </c>
      <c r="O94" s="24" t="e">
        <f t="shared" si="16"/>
        <v>#VALUE!</v>
      </c>
      <c r="P94" s="24" t="e">
        <f t="shared" si="17"/>
        <v>#VALUE!</v>
      </c>
      <c r="Q94" s="24" t="e">
        <f t="shared" si="18"/>
        <v>#VALUE!</v>
      </c>
      <c r="R94" s="36">
        <f t="shared" si="19"/>
        <v>0</v>
      </c>
      <c r="S94" s="23" t="s">
        <v>232</v>
      </c>
      <c r="T94" s="24" t="e">
        <f t="shared" si="20"/>
        <v>#VALUE!</v>
      </c>
      <c r="U94" s="23" t="e">
        <f t="shared" si="21"/>
        <v>#VALUE!</v>
      </c>
      <c r="V94" s="23" t="e">
        <f t="shared" si="22"/>
        <v>#VALUE!</v>
      </c>
      <c r="W94" s="23" t="e">
        <f t="shared" si="23"/>
        <v>#VALUE!</v>
      </c>
    </row>
    <row r="95" spans="1:23" ht="15" customHeight="1" x14ac:dyDescent="0.25">
      <c r="A95" s="19" t="s">
        <v>210</v>
      </c>
      <c r="B95" s="19" t="s">
        <v>211</v>
      </c>
      <c r="C95" s="19" t="s">
        <v>45</v>
      </c>
      <c r="D95" s="19" t="s">
        <v>22</v>
      </c>
      <c r="E95" s="19" t="s">
        <v>232</v>
      </c>
      <c r="F95" s="23">
        <v>463.55505996404435</v>
      </c>
      <c r="G95" s="24">
        <v>7623600</v>
      </c>
      <c r="H95" s="24">
        <v>9632030</v>
      </c>
      <c r="I95" s="19">
        <v>100</v>
      </c>
      <c r="J95" s="24">
        <f t="shared" si="12"/>
        <v>0</v>
      </c>
      <c r="K95" s="36">
        <f t="shared" si="14"/>
        <v>0</v>
      </c>
      <c r="L95" s="23" t="s">
        <v>232</v>
      </c>
      <c r="M95" s="24" t="e">
        <f t="shared" si="13"/>
        <v>#VALUE!</v>
      </c>
      <c r="N95" s="19" t="e">
        <f t="shared" si="15"/>
        <v>#VALUE!</v>
      </c>
      <c r="O95" s="24" t="e">
        <f t="shared" si="16"/>
        <v>#VALUE!</v>
      </c>
      <c r="P95" s="24" t="e">
        <f t="shared" si="17"/>
        <v>#VALUE!</v>
      </c>
      <c r="Q95" s="24" t="e">
        <f t="shared" si="18"/>
        <v>#VALUE!</v>
      </c>
      <c r="R95" s="36">
        <f t="shared" si="19"/>
        <v>0</v>
      </c>
      <c r="S95" s="24">
        <v>683998780.19966102</v>
      </c>
      <c r="T95" s="24">
        <f t="shared" si="20"/>
        <v>10259981702.994915</v>
      </c>
      <c r="U95" s="23" t="e">
        <f t="shared" si="21"/>
        <v>#VALUE!</v>
      </c>
      <c r="V95" s="23" t="e">
        <f t="shared" si="22"/>
        <v>#VALUE!</v>
      </c>
      <c r="W95" s="23" t="e">
        <f t="shared" si="23"/>
        <v>#VALUE!</v>
      </c>
    </row>
    <row r="96" spans="1:23" ht="15" customHeight="1" x14ac:dyDescent="0.25">
      <c r="A96" s="19" t="s">
        <v>212</v>
      </c>
      <c r="B96" s="19" t="s">
        <v>213</v>
      </c>
      <c r="C96" s="19" t="s">
        <v>45</v>
      </c>
      <c r="D96" s="19" t="s">
        <v>19</v>
      </c>
      <c r="E96" s="19" t="s">
        <v>232</v>
      </c>
      <c r="F96" s="23" t="s">
        <v>232</v>
      </c>
      <c r="G96" s="24">
        <v>60483385</v>
      </c>
      <c r="H96" s="24">
        <v>61211831</v>
      </c>
      <c r="I96" s="19">
        <v>100</v>
      </c>
      <c r="J96" s="24">
        <f t="shared" si="12"/>
        <v>0</v>
      </c>
      <c r="K96" s="36">
        <f t="shared" si="14"/>
        <v>0</v>
      </c>
      <c r="L96" s="23" t="s">
        <v>232</v>
      </c>
      <c r="M96" s="24" t="e">
        <f t="shared" si="13"/>
        <v>#VALUE!</v>
      </c>
      <c r="N96" s="19" t="e">
        <f t="shared" si="15"/>
        <v>#VALUE!</v>
      </c>
      <c r="O96" s="24" t="e">
        <f t="shared" si="16"/>
        <v>#VALUE!</v>
      </c>
      <c r="P96" s="24" t="e">
        <f t="shared" si="17"/>
        <v>#VALUE!</v>
      </c>
      <c r="Q96" s="24" t="e">
        <f t="shared" si="18"/>
        <v>#VALUE!</v>
      </c>
      <c r="R96" s="36">
        <f t="shared" si="19"/>
        <v>0</v>
      </c>
      <c r="S96" s="24">
        <v>3978955289.0601716</v>
      </c>
      <c r="T96" s="24">
        <f t="shared" si="20"/>
        <v>59684329335.902573</v>
      </c>
      <c r="U96" s="23" t="e">
        <f t="shared" si="21"/>
        <v>#VALUE!</v>
      </c>
      <c r="V96" s="23" t="e">
        <f t="shared" si="22"/>
        <v>#VALUE!</v>
      </c>
      <c r="W96" s="23" t="e">
        <f t="shared" si="23"/>
        <v>#VALUE!</v>
      </c>
    </row>
    <row r="97" spans="1:23" ht="15" customHeight="1" x14ac:dyDescent="0.25">
      <c r="A97" s="19" t="s">
        <v>214</v>
      </c>
      <c r="B97" s="19" t="s">
        <v>215</v>
      </c>
      <c r="C97" s="19" t="s">
        <v>18</v>
      </c>
      <c r="D97" s="19" t="s">
        <v>35</v>
      </c>
      <c r="E97" s="19" t="s">
        <v>468</v>
      </c>
      <c r="F97" s="23">
        <v>457.1136934673367</v>
      </c>
      <c r="G97" s="24">
        <v>2690824</v>
      </c>
      <c r="H97" s="24">
        <v>2949838</v>
      </c>
      <c r="I97" s="19">
        <v>93.1</v>
      </c>
      <c r="J97" s="24">
        <f t="shared" si="12"/>
        <v>203538.82200000019</v>
      </c>
      <c r="K97" s="36">
        <f t="shared" si="14"/>
        <v>203538.82200000019</v>
      </c>
      <c r="L97" s="23">
        <v>350.21097046413502</v>
      </c>
      <c r="M97" s="24">
        <f t="shared" si="13"/>
        <v>71281528.379746899</v>
      </c>
      <c r="N97" s="19">
        <f t="shared" si="15"/>
        <v>1.8630000000000001E-2</v>
      </c>
      <c r="O97" s="24">
        <f t="shared" si="16"/>
        <v>1327974.8737146847</v>
      </c>
      <c r="P97" s="24">
        <f t="shared" si="17"/>
        <v>1991962.3105720272</v>
      </c>
      <c r="Q97" s="24">
        <f t="shared" si="18"/>
        <v>73273490.690318927</v>
      </c>
      <c r="R97" s="36">
        <f t="shared" si="19"/>
        <v>73273490.690318927</v>
      </c>
      <c r="S97" s="24">
        <v>244066186.95842627</v>
      </c>
      <c r="T97" s="24">
        <f t="shared" si="20"/>
        <v>3660992804.3763938</v>
      </c>
      <c r="U97" s="23">
        <f t="shared" si="21"/>
        <v>2.0014650289049172E-2</v>
      </c>
      <c r="V97" s="23">
        <f t="shared" si="22"/>
        <v>6.6715500963497243E-3</v>
      </c>
      <c r="W97" s="23">
        <f t="shared" si="23"/>
        <v>6.0043950867147512E-2</v>
      </c>
    </row>
    <row r="98" spans="1:23" ht="15" customHeight="1" x14ac:dyDescent="0.25">
      <c r="A98" s="19" t="s">
        <v>216</v>
      </c>
      <c r="B98" s="19" t="s">
        <v>217</v>
      </c>
      <c r="C98" s="19" t="s">
        <v>45</v>
      </c>
      <c r="D98" s="19" t="s">
        <v>26</v>
      </c>
      <c r="E98" s="19" t="s">
        <v>232</v>
      </c>
      <c r="F98" s="23">
        <v>162.92664529511597</v>
      </c>
      <c r="G98" s="24">
        <v>127450459</v>
      </c>
      <c r="H98" s="24">
        <v>120624738</v>
      </c>
      <c r="I98" s="19">
        <v>100</v>
      </c>
      <c r="J98" s="24">
        <f t="shared" si="12"/>
        <v>0</v>
      </c>
      <c r="K98" s="36">
        <f t="shared" si="14"/>
        <v>0</v>
      </c>
      <c r="L98" s="23" t="s">
        <v>232</v>
      </c>
      <c r="M98" s="24" t="e">
        <f t="shared" si="13"/>
        <v>#VALUE!</v>
      </c>
      <c r="N98" s="19" t="e">
        <f t="shared" si="15"/>
        <v>#VALUE!</v>
      </c>
      <c r="O98" s="24" t="e">
        <f t="shared" si="16"/>
        <v>#VALUE!</v>
      </c>
      <c r="P98" s="24" t="e">
        <f t="shared" si="17"/>
        <v>#VALUE!</v>
      </c>
      <c r="Q98" s="24" t="e">
        <f t="shared" si="18"/>
        <v>#VALUE!</v>
      </c>
      <c r="R98" s="36">
        <f t="shared" si="19"/>
        <v>0</v>
      </c>
      <c r="S98" s="24">
        <v>1629780081.2566016</v>
      </c>
      <c r="T98" s="24">
        <f t="shared" si="20"/>
        <v>24446701218.849022</v>
      </c>
      <c r="U98" s="23" t="e">
        <f t="shared" si="21"/>
        <v>#VALUE!</v>
      </c>
      <c r="V98" s="23" t="e">
        <f t="shared" si="22"/>
        <v>#VALUE!</v>
      </c>
      <c r="W98" s="23" t="e">
        <f t="shared" si="23"/>
        <v>#VALUE!</v>
      </c>
    </row>
    <row r="99" spans="1:23" ht="15" customHeight="1" x14ac:dyDescent="0.25">
      <c r="A99" s="19" t="s">
        <v>218</v>
      </c>
      <c r="B99" s="19" t="s">
        <v>219</v>
      </c>
      <c r="C99" s="19" t="s">
        <v>18</v>
      </c>
      <c r="D99" s="19" t="s">
        <v>22</v>
      </c>
      <c r="E99" s="19" t="s">
        <v>474</v>
      </c>
      <c r="F99" s="23">
        <v>463.55505996404435</v>
      </c>
      <c r="G99" s="24">
        <v>6046000</v>
      </c>
      <c r="H99" s="24">
        <v>9355173</v>
      </c>
      <c r="I99" s="19">
        <v>96.2</v>
      </c>
      <c r="J99" s="24">
        <f t="shared" si="12"/>
        <v>355496.57399999927</v>
      </c>
      <c r="K99" s="36">
        <f t="shared" si="14"/>
        <v>355496.57399999927</v>
      </c>
      <c r="L99" s="23">
        <v>491.40401146131808</v>
      </c>
      <c r="M99" s="24">
        <f t="shared" si="13"/>
        <v>174692442.52435493</v>
      </c>
      <c r="N99" s="19">
        <f t="shared" si="15"/>
        <v>1.8630000000000001E-2</v>
      </c>
      <c r="O99" s="24">
        <f t="shared" si="16"/>
        <v>3254520.2042287327</v>
      </c>
      <c r="P99" s="24">
        <f t="shared" si="17"/>
        <v>4881780.3063430991</v>
      </c>
      <c r="Q99" s="24">
        <f t="shared" si="18"/>
        <v>179574222.83069804</v>
      </c>
      <c r="R99" s="36">
        <f t="shared" si="19"/>
        <v>179574222.83069804</v>
      </c>
      <c r="S99" s="24">
        <v>479904568.92910677</v>
      </c>
      <c r="T99" s="24">
        <f t="shared" si="20"/>
        <v>7198568533.9366016</v>
      </c>
      <c r="U99" s="23">
        <f t="shared" si="21"/>
        <v>2.494582387930622E-2</v>
      </c>
      <c r="V99" s="23">
        <f t="shared" si="22"/>
        <v>8.3152746264354063E-3</v>
      </c>
      <c r="W99" s="23">
        <f t="shared" si="23"/>
        <v>7.4837471637918665E-2</v>
      </c>
    </row>
    <row r="100" spans="1:23" ht="15" customHeight="1" x14ac:dyDescent="0.25">
      <c r="A100" s="19" t="s">
        <v>220</v>
      </c>
      <c r="B100" s="19" t="s">
        <v>221</v>
      </c>
      <c r="C100" s="19" t="s">
        <v>18</v>
      </c>
      <c r="D100" s="19" t="s">
        <v>19</v>
      </c>
      <c r="E100" s="19" t="s">
        <v>469</v>
      </c>
      <c r="F100" s="23">
        <v>270.56505523889945</v>
      </c>
      <c r="G100" s="24">
        <v>16321581</v>
      </c>
      <c r="H100" s="24">
        <v>18572745</v>
      </c>
      <c r="I100" s="19">
        <v>93.2</v>
      </c>
      <c r="J100" s="24">
        <f t="shared" si="12"/>
        <v>1262946.659999999</v>
      </c>
      <c r="K100" s="36">
        <f t="shared" si="14"/>
        <v>1262946.659999999</v>
      </c>
      <c r="L100" s="23">
        <v>347.89391575663029</v>
      </c>
      <c r="M100" s="24">
        <f t="shared" si="13"/>
        <v>439371458.93915725</v>
      </c>
      <c r="N100" s="19">
        <f t="shared" si="15"/>
        <v>1.8630000000000001E-2</v>
      </c>
      <c r="O100" s="24">
        <f t="shared" si="16"/>
        <v>8185490.2800364997</v>
      </c>
      <c r="P100" s="24">
        <f t="shared" si="17"/>
        <v>12278235.420054751</v>
      </c>
      <c r="Q100" s="24">
        <f t="shared" si="18"/>
        <v>451649694.35921198</v>
      </c>
      <c r="R100" s="36">
        <f t="shared" si="19"/>
        <v>451649694.35921198</v>
      </c>
      <c r="S100" s="24">
        <v>52080674870.849876</v>
      </c>
      <c r="T100" s="24">
        <f t="shared" si="20"/>
        <v>781210123062.74817</v>
      </c>
      <c r="U100" s="23">
        <f t="shared" si="21"/>
        <v>5.7814111853608774E-4</v>
      </c>
      <c r="V100" s="23">
        <f t="shared" si="22"/>
        <v>1.9271370617869591E-4</v>
      </c>
      <c r="W100" s="23">
        <f t="shared" si="23"/>
        <v>1.7344233556082632E-3</v>
      </c>
    </row>
    <row r="101" spans="1:23" ht="15" customHeight="1" x14ac:dyDescent="0.25">
      <c r="A101" s="19" t="s">
        <v>222</v>
      </c>
      <c r="B101" s="19" t="s">
        <v>223</v>
      </c>
      <c r="C101" s="19" t="s">
        <v>14</v>
      </c>
      <c r="D101" s="19" t="s">
        <v>32</v>
      </c>
      <c r="E101" s="19" t="s">
        <v>467</v>
      </c>
      <c r="F101" s="23">
        <v>68.964152792292879</v>
      </c>
      <c r="G101" s="24">
        <v>40909194</v>
      </c>
      <c r="H101" s="24">
        <v>66306062.999999993</v>
      </c>
      <c r="I101" s="19">
        <v>60.1</v>
      </c>
      <c r="J101" s="24">
        <f t="shared" si="12"/>
        <v>26456119.136999998</v>
      </c>
      <c r="K101" s="36">
        <f t="shared" si="14"/>
        <v>26456119.136999998</v>
      </c>
      <c r="L101" s="23">
        <v>56.594145753119633</v>
      </c>
      <c r="M101" s="24">
        <f t="shared" si="13"/>
        <v>1497261462.5012755</v>
      </c>
      <c r="N101" s="19">
        <f t="shared" si="15"/>
        <v>1.8630000000000001E-2</v>
      </c>
      <c r="O101" s="24">
        <f t="shared" si="16"/>
        <v>27893981.046398763</v>
      </c>
      <c r="P101" s="24">
        <f t="shared" si="17"/>
        <v>41840971.569598146</v>
      </c>
      <c r="Q101" s="24">
        <f t="shared" si="18"/>
        <v>1539102434.0708737</v>
      </c>
      <c r="R101" s="36">
        <f t="shared" si="19"/>
        <v>1539102434.0708737</v>
      </c>
      <c r="S101" s="24">
        <v>1419333043.2990847</v>
      </c>
      <c r="T101" s="24">
        <f t="shared" si="20"/>
        <v>21289995649.486271</v>
      </c>
      <c r="U101" s="23">
        <f t="shared" si="21"/>
        <v>7.2292285043656757E-2</v>
      </c>
      <c r="V101" s="23">
        <f t="shared" si="22"/>
        <v>2.4097428347885582E-2</v>
      </c>
      <c r="W101" s="23">
        <f t="shared" si="23"/>
        <v>0.2168768551309703</v>
      </c>
    </row>
    <row r="102" spans="1:23" ht="15" customHeight="1" x14ac:dyDescent="0.25">
      <c r="A102" s="19" t="s">
        <v>224</v>
      </c>
      <c r="B102" s="19" t="s">
        <v>225</v>
      </c>
      <c r="C102" s="19" t="s">
        <v>40</v>
      </c>
      <c r="D102" s="19" t="s">
        <v>26</v>
      </c>
      <c r="E102" s="19" t="s">
        <v>232</v>
      </c>
      <c r="F102" s="23">
        <v>162.92664529511597</v>
      </c>
      <c r="G102" s="24">
        <v>97743</v>
      </c>
      <c r="H102" s="24">
        <v>130715</v>
      </c>
      <c r="I102" s="19">
        <v>65.400000000000006</v>
      </c>
      <c r="J102" s="24">
        <f t="shared" si="12"/>
        <v>45227.39</v>
      </c>
      <c r="K102" s="36">
        <f t="shared" si="14"/>
        <v>45227.39</v>
      </c>
      <c r="L102" s="23">
        <v>162.92664529511597</v>
      </c>
      <c r="M102" s="24">
        <f t="shared" si="13"/>
        <v>7368746.9281538753</v>
      </c>
      <c r="N102" s="19">
        <f t="shared" si="15"/>
        <v>1.8630000000000001E-2</v>
      </c>
      <c r="O102" s="24">
        <f t="shared" si="16"/>
        <v>137279.7552715067</v>
      </c>
      <c r="P102" s="24">
        <f t="shared" si="17"/>
        <v>205919.63290726003</v>
      </c>
      <c r="Q102" s="24">
        <f t="shared" si="18"/>
        <v>7574666.5610611355</v>
      </c>
      <c r="R102" s="36">
        <f t="shared" si="19"/>
        <v>7574666.5610611355</v>
      </c>
      <c r="S102" s="24">
        <v>147463.39816805688</v>
      </c>
      <c r="T102" s="24">
        <f t="shared" si="20"/>
        <v>2211950.9725208534</v>
      </c>
      <c r="U102" s="23">
        <f t="shared" si="21"/>
        <v>3.424427871666909</v>
      </c>
      <c r="V102" s="23">
        <f t="shared" si="22"/>
        <v>1.141475957222303</v>
      </c>
      <c r="W102" s="23">
        <f t="shared" si="23"/>
        <v>10.273283615000727</v>
      </c>
    </row>
    <row r="103" spans="1:23" ht="15" customHeight="1" x14ac:dyDescent="0.25">
      <c r="A103" s="19" t="s">
        <v>226</v>
      </c>
      <c r="B103" s="19" t="s">
        <v>227</v>
      </c>
      <c r="C103" s="19" t="s">
        <v>14</v>
      </c>
      <c r="D103" s="19" t="s">
        <v>26</v>
      </c>
      <c r="E103" s="19" t="s">
        <v>232</v>
      </c>
      <c r="F103" s="23">
        <v>530.71832220241151</v>
      </c>
      <c r="G103" s="24">
        <v>24500520</v>
      </c>
      <c r="H103" s="24">
        <v>26718625</v>
      </c>
      <c r="I103" s="19">
        <v>98.3</v>
      </c>
      <c r="J103" s="24">
        <f t="shared" si="12"/>
        <v>454216.62500000041</v>
      </c>
      <c r="K103" s="36">
        <f t="shared" si="14"/>
        <v>454216.62500000041</v>
      </c>
      <c r="L103" s="23">
        <v>530.71832220241151</v>
      </c>
      <c r="M103" s="24">
        <f t="shared" si="13"/>
        <v>241061085.13644215</v>
      </c>
      <c r="N103" s="19">
        <f t="shared" si="15"/>
        <v>1.8630000000000001E-2</v>
      </c>
      <c r="O103" s="24">
        <f t="shared" si="16"/>
        <v>4490968.0160919176</v>
      </c>
      <c r="P103" s="24">
        <f t="shared" si="17"/>
        <v>6736452.024137876</v>
      </c>
      <c r="Q103" s="24">
        <f t="shared" si="18"/>
        <v>247797537.16058004</v>
      </c>
      <c r="R103" s="36">
        <f t="shared" si="19"/>
        <v>247797537.16058004</v>
      </c>
      <c r="S103" s="23" t="s">
        <v>232</v>
      </c>
      <c r="T103" s="24" t="e">
        <f t="shared" si="20"/>
        <v>#VALUE!</v>
      </c>
      <c r="U103" s="23" t="e">
        <f t="shared" si="21"/>
        <v>#VALUE!</v>
      </c>
      <c r="V103" s="23" t="e">
        <f t="shared" si="22"/>
        <v>#VALUE!</v>
      </c>
      <c r="W103" s="23" t="e">
        <f t="shared" si="23"/>
        <v>#VALUE!</v>
      </c>
    </row>
    <row r="104" spans="1:23" ht="15" customHeight="1" x14ac:dyDescent="0.25">
      <c r="A104" s="19" t="s">
        <v>228</v>
      </c>
      <c r="B104" s="19" t="s">
        <v>229</v>
      </c>
      <c r="C104" s="19" t="s">
        <v>45</v>
      </c>
      <c r="D104" s="19" t="s">
        <v>26</v>
      </c>
      <c r="E104" s="19" t="s">
        <v>472</v>
      </c>
      <c r="F104" s="23">
        <v>530.71832220241151</v>
      </c>
      <c r="G104" s="24">
        <v>49410366</v>
      </c>
      <c r="H104" s="24">
        <v>52190069</v>
      </c>
      <c r="I104" s="19">
        <v>97.7</v>
      </c>
      <c r="J104" s="24">
        <f t="shared" si="12"/>
        <v>1200371.587000001</v>
      </c>
      <c r="K104" s="36">
        <f t="shared" si="14"/>
        <v>1200371.587000001</v>
      </c>
      <c r="L104" s="23">
        <v>530.71832220241151</v>
      </c>
      <c r="M104" s="24">
        <f t="shared" si="13"/>
        <v>637059194.6720866</v>
      </c>
      <c r="N104" s="19">
        <f t="shared" si="15"/>
        <v>1.8630000000000001E-2</v>
      </c>
      <c r="O104" s="24">
        <f t="shared" si="16"/>
        <v>11868412.796740973</v>
      </c>
      <c r="P104" s="24">
        <f t="shared" si="17"/>
        <v>17802619.195111461</v>
      </c>
      <c r="Q104" s="24">
        <f t="shared" si="18"/>
        <v>654861813.86719811</v>
      </c>
      <c r="R104" s="36">
        <f t="shared" si="19"/>
        <v>654861813.86719811</v>
      </c>
      <c r="S104" s="24">
        <v>614733047.31301725</v>
      </c>
      <c r="T104" s="24">
        <f t="shared" si="20"/>
        <v>9220995709.6952591</v>
      </c>
      <c r="U104" s="23">
        <f t="shared" si="21"/>
        <v>7.1018557483836023E-2</v>
      </c>
      <c r="V104" s="23">
        <f t="shared" si="22"/>
        <v>2.3672852494612009E-2</v>
      </c>
      <c r="W104" s="23">
        <f t="shared" si="23"/>
        <v>0.21305567245150808</v>
      </c>
    </row>
    <row r="105" spans="1:23" ht="15" customHeight="1" x14ac:dyDescent="0.25">
      <c r="A105" s="19" t="s">
        <v>230</v>
      </c>
      <c r="B105" s="19" t="s">
        <v>231</v>
      </c>
      <c r="C105" s="19" t="s">
        <v>40</v>
      </c>
      <c r="D105" s="19" t="s">
        <v>19</v>
      </c>
      <c r="E105" s="19" t="s">
        <v>232</v>
      </c>
      <c r="F105" s="23" t="s">
        <v>232</v>
      </c>
      <c r="G105" s="24">
        <v>1775680</v>
      </c>
      <c r="H105" s="24" t="s">
        <v>232</v>
      </c>
      <c r="I105" s="23" t="s">
        <v>232</v>
      </c>
      <c r="J105" s="24" t="e">
        <f t="shared" si="12"/>
        <v>#VALUE!</v>
      </c>
      <c r="K105" s="36">
        <f t="shared" si="14"/>
        <v>0</v>
      </c>
      <c r="L105" s="23" t="s">
        <v>232</v>
      </c>
      <c r="M105" s="24" t="e">
        <f t="shared" si="13"/>
        <v>#VALUE!</v>
      </c>
      <c r="N105" s="19" t="e">
        <f t="shared" si="15"/>
        <v>#VALUE!</v>
      </c>
      <c r="O105" s="24" t="e">
        <f t="shared" si="16"/>
        <v>#VALUE!</v>
      </c>
      <c r="P105" s="24" t="e">
        <f t="shared" si="17"/>
        <v>#VALUE!</v>
      </c>
      <c r="Q105" s="24" t="e">
        <f t="shared" si="18"/>
        <v>#VALUE!</v>
      </c>
      <c r="R105" s="36">
        <f t="shared" si="19"/>
        <v>0</v>
      </c>
      <c r="S105" s="24">
        <v>177423641.54793903</v>
      </c>
      <c r="T105" s="24">
        <f t="shared" si="20"/>
        <v>2661354623.2190857</v>
      </c>
      <c r="U105" s="23" t="e">
        <f t="shared" si="21"/>
        <v>#VALUE!</v>
      </c>
      <c r="V105" s="23" t="e">
        <f t="shared" si="22"/>
        <v>#VALUE!</v>
      </c>
      <c r="W105" s="23" t="e">
        <f t="shared" si="23"/>
        <v>#VALUE!</v>
      </c>
    </row>
    <row r="106" spans="1:23" ht="15" customHeight="1" x14ac:dyDescent="0.25">
      <c r="A106" s="19" t="s">
        <v>233</v>
      </c>
      <c r="B106" s="19" t="s">
        <v>234</v>
      </c>
      <c r="C106" s="19" t="s">
        <v>29</v>
      </c>
      <c r="D106" s="19" t="s">
        <v>22</v>
      </c>
      <c r="E106" s="19" t="s">
        <v>474</v>
      </c>
      <c r="F106" s="23">
        <v>463.55505996404435</v>
      </c>
      <c r="G106" s="24">
        <v>2991580</v>
      </c>
      <c r="H106" s="24">
        <v>4832793</v>
      </c>
      <c r="I106" s="19">
        <v>99</v>
      </c>
      <c r="J106" s="24">
        <f t="shared" si="12"/>
        <v>48327.930000000044</v>
      </c>
      <c r="K106" s="36">
        <f t="shared" si="14"/>
        <v>48327.930000000044</v>
      </c>
      <c r="L106" s="23">
        <v>575.41899441340786</v>
      </c>
      <c r="M106" s="24">
        <f t="shared" si="13"/>
        <v>27808808.88268159</v>
      </c>
      <c r="N106" s="19">
        <f t="shared" si="15"/>
        <v>1.8630000000000001E-2</v>
      </c>
      <c r="O106" s="24">
        <f t="shared" si="16"/>
        <v>518078.10948435805</v>
      </c>
      <c r="P106" s="24">
        <f t="shared" si="17"/>
        <v>777117.1642265371</v>
      </c>
      <c r="Q106" s="24">
        <f t="shared" si="18"/>
        <v>28585926.046908125</v>
      </c>
      <c r="R106" s="36">
        <f t="shared" si="19"/>
        <v>28585926.046908125</v>
      </c>
      <c r="S106" s="24">
        <v>62059401760.996567</v>
      </c>
      <c r="T106" s="24">
        <f t="shared" si="20"/>
        <v>930891026414.94849</v>
      </c>
      <c r="U106" s="23">
        <f t="shared" si="21"/>
        <v>3.0708133643739553E-5</v>
      </c>
      <c r="V106" s="23">
        <f t="shared" si="22"/>
        <v>1.0236044547913184E-5</v>
      </c>
      <c r="W106" s="23">
        <f t="shared" si="23"/>
        <v>9.2124400931218659E-5</v>
      </c>
    </row>
    <row r="107" spans="1:23" ht="15" customHeight="1" x14ac:dyDescent="0.25">
      <c r="A107" s="19" t="s">
        <v>235</v>
      </c>
      <c r="B107" s="19" t="s">
        <v>236</v>
      </c>
      <c r="C107" s="19" t="s">
        <v>14</v>
      </c>
      <c r="D107" s="19" t="s">
        <v>19</v>
      </c>
      <c r="E107" s="19" t="s">
        <v>469</v>
      </c>
      <c r="F107" s="23">
        <v>270.56505523889945</v>
      </c>
      <c r="G107" s="24">
        <v>5447900</v>
      </c>
      <c r="H107" s="24">
        <v>6871058</v>
      </c>
      <c r="I107" s="19">
        <v>87.6</v>
      </c>
      <c r="J107" s="24">
        <f t="shared" si="12"/>
        <v>852011.19200000074</v>
      </c>
      <c r="K107" s="36">
        <f t="shared" si="14"/>
        <v>852011.19200000074</v>
      </c>
      <c r="L107" s="23">
        <v>270.56505523889945</v>
      </c>
      <c r="M107" s="24">
        <f t="shared" si="13"/>
        <v>230524455.22764075</v>
      </c>
      <c r="N107" s="19">
        <f t="shared" si="15"/>
        <v>1.8630000000000001E-2</v>
      </c>
      <c r="O107" s="24">
        <f t="shared" si="16"/>
        <v>4294670.6008909475</v>
      </c>
      <c r="P107" s="24">
        <f t="shared" si="17"/>
        <v>6442005.9013364213</v>
      </c>
      <c r="Q107" s="24">
        <f t="shared" si="18"/>
        <v>236966461.12897718</v>
      </c>
      <c r="R107" s="36">
        <f t="shared" si="19"/>
        <v>236966461.12897718</v>
      </c>
      <c r="S107" s="24">
        <v>577303538.49183607</v>
      </c>
      <c r="T107" s="24">
        <f t="shared" si="20"/>
        <v>8659553077.3775406</v>
      </c>
      <c r="U107" s="23">
        <f t="shared" si="21"/>
        <v>2.7364744925235808E-2</v>
      </c>
      <c r="V107" s="23">
        <f t="shared" si="22"/>
        <v>9.1215816417452699E-3</v>
      </c>
      <c r="W107" s="23">
        <f t="shared" si="23"/>
        <v>8.2094234775707431E-2</v>
      </c>
    </row>
    <row r="108" spans="1:23" ht="15" customHeight="1" x14ac:dyDescent="0.25">
      <c r="A108" s="19" t="s">
        <v>237</v>
      </c>
      <c r="B108" s="19" t="s">
        <v>238</v>
      </c>
      <c r="C108" s="19" t="s">
        <v>40</v>
      </c>
      <c r="D108" s="19" t="s">
        <v>26</v>
      </c>
      <c r="E108" s="19" t="s">
        <v>471</v>
      </c>
      <c r="F108" s="23">
        <v>286.39139284675775</v>
      </c>
      <c r="G108" s="24">
        <v>6395713</v>
      </c>
      <c r="H108" s="24">
        <v>8806260</v>
      </c>
      <c r="I108" s="19">
        <v>67.5</v>
      </c>
      <c r="J108" s="24">
        <f t="shared" si="12"/>
        <v>2862034.4999999995</v>
      </c>
      <c r="K108" s="36">
        <f t="shared" si="14"/>
        <v>2862034.4999999995</v>
      </c>
      <c r="L108" s="23">
        <v>266.99029126213594</v>
      </c>
      <c r="M108" s="24">
        <f t="shared" si="13"/>
        <v>764135424.75728142</v>
      </c>
      <c r="N108" s="19">
        <f t="shared" si="15"/>
        <v>1.8630000000000001E-2</v>
      </c>
      <c r="O108" s="24">
        <f t="shared" si="16"/>
        <v>14235842.963228153</v>
      </c>
      <c r="P108" s="24">
        <f t="shared" si="17"/>
        <v>21353764.444842231</v>
      </c>
      <c r="Q108" s="24">
        <f t="shared" si="18"/>
        <v>785489189.20212364</v>
      </c>
      <c r="R108" s="36">
        <f t="shared" si="19"/>
        <v>785489189.20212364</v>
      </c>
      <c r="S108" s="24">
        <v>1331952550.8132415</v>
      </c>
      <c r="T108" s="24">
        <f t="shared" si="20"/>
        <v>19979288262.198624</v>
      </c>
      <c r="U108" s="23">
        <f t="shared" si="21"/>
        <v>3.9315173738610668E-2</v>
      </c>
      <c r="V108" s="23">
        <f t="shared" si="22"/>
        <v>1.3105057912870222E-2</v>
      </c>
      <c r="W108" s="23">
        <f t="shared" si="23"/>
        <v>0.11794552121583199</v>
      </c>
    </row>
    <row r="109" spans="1:23" ht="15" customHeight="1" x14ac:dyDescent="0.25">
      <c r="A109" s="19" t="s">
        <v>239</v>
      </c>
      <c r="B109" s="19" t="s">
        <v>240</v>
      </c>
      <c r="C109" s="19" t="s">
        <v>29</v>
      </c>
      <c r="D109" s="19" t="s">
        <v>19</v>
      </c>
      <c r="E109" s="19" t="s">
        <v>232</v>
      </c>
      <c r="F109" s="23">
        <v>270.56505523889945</v>
      </c>
      <c r="G109" s="24">
        <v>2097555</v>
      </c>
      <c r="H109" s="24">
        <v>1855822</v>
      </c>
      <c r="I109" s="19">
        <v>98.4</v>
      </c>
      <c r="J109" s="24">
        <f t="shared" si="12"/>
        <v>29693.15199999982</v>
      </c>
      <c r="K109" s="36">
        <f t="shared" si="14"/>
        <v>29693.15199999982</v>
      </c>
      <c r="L109" s="23">
        <v>270.56505523889945</v>
      </c>
      <c r="M109" s="24">
        <f t="shared" si="13"/>
        <v>8033929.3110969886</v>
      </c>
      <c r="N109" s="19">
        <f t="shared" si="15"/>
        <v>1.8630000000000001E-2</v>
      </c>
      <c r="O109" s="24">
        <f t="shared" si="16"/>
        <v>149672.10306573691</v>
      </c>
      <c r="P109" s="24">
        <f t="shared" si="17"/>
        <v>224508.15459860538</v>
      </c>
      <c r="Q109" s="24">
        <f t="shared" si="18"/>
        <v>8258437.4656955944</v>
      </c>
      <c r="R109" s="36">
        <f t="shared" si="19"/>
        <v>8258437.4656955944</v>
      </c>
      <c r="S109" s="24">
        <v>581674804.62426615</v>
      </c>
      <c r="T109" s="24">
        <f t="shared" si="20"/>
        <v>8725122069.3639927</v>
      </c>
      <c r="U109" s="23">
        <f t="shared" si="21"/>
        <v>9.4651254160591739E-4</v>
      </c>
      <c r="V109" s="23">
        <f t="shared" si="22"/>
        <v>3.1550418053530576E-4</v>
      </c>
      <c r="W109" s="23">
        <f t="shared" si="23"/>
        <v>2.8395376248177523E-3</v>
      </c>
    </row>
    <row r="110" spans="1:23" ht="15" customHeight="1" x14ac:dyDescent="0.25">
      <c r="A110" s="19" t="s">
        <v>241</v>
      </c>
      <c r="B110" s="19" t="s">
        <v>242</v>
      </c>
      <c r="C110" s="19" t="s">
        <v>18</v>
      </c>
      <c r="D110" s="19" t="s">
        <v>22</v>
      </c>
      <c r="E110" s="19" t="s">
        <v>474</v>
      </c>
      <c r="F110" s="23">
        <v>463.55505996404435</v>
      </c>
      <c r="G110" s="24">
        <v>4341092</v>
      </c>
      <c r="H110" s="24">
        <v>5171981</v>
      </c>
      <c r="I110" s="19">
        <v>100</v>
      </c>
      <c r="J110" s="24">
        <f t="shared" si="12"/>
        <v>0</v>
      </c>
      <c r="K110" s="36">
        <f t="shared" si="14"/>
        <v>0</v>
      </c>
      <c r="L110" s="23">
        <v>1162.0111731843576</v>
      </c>
      <c r="M110" s="24">
        <f t="shared" si="13"/>
        <v>0</v>
      </c>
      <c r="N110" s="19" t="e">
        <f t="shared" si="15"/>
        <v>#DIV/0!</v>
      </c>
      <c r="O110" s="24">
        <f t="shared" si="16"/>
        <v>0</v>
      </c>
      <c r="P110" s="24">
        <f t="shared" si="17"/>
        <v>0</v>
      </c>
      <c r="Q110" s="24">
        <f t="shared" si="18"/>
        <v>0</v>
      </c>
      <c r="R110" s="36">
        <f t="shared" si="19"/>
        <v>0</v>
      </c>
      <c r="S110" s="24">
        <v>1265644.42328598</v>
      </c>
      <c r="T110" s="24">
        <f t="shared" si="20"/>
        <v>18984666.3492897</v>
      </c>
      <c r="U110" s="23">
        <f t="shared" si="21"/>
        <v>0</v>
      </c>
      <c r="V110" s="23">
        <f t="shared" si="22"/>
        <v>0</v>
      </c>
      <c r="W110" s="23">
        <f t="shared" si="23"/>
        <v>0</v>
      </c>
    </row>
    <row r="111" spans="1:23" ht="15" customHeight="1" x14ac:dyDescent="0.25">
      <c r="A111" s="19" t="s">
        <v>243</v>
      </c>
      <c r="B111" s="19" t="s">
        <v>244</v>
      </c>
      <c r="C111" s="19" t="s">
        <v>40</v>
      </c>
      <c r="D111" s="19" t="s">
        <v>32</v>
      </c>
      <c r="E111" s="19" t="s">
        <v>467</v>
      </c>
      <c r="F111" s="23">
        <v>68.964152792292879</v>
      </c>
      <c r="G111" s="24">
        <v>2008921</v>
      </c>
      <c r="H111" s="24">
        <v>2419217</v>
      </c>
      <c r="I111" s="19">
        <v>81</v>
      </c>
      <c r="J111" s="24">
        <f t="shared" si="12"/>
        <v>459651.22999999986</v>
      </c>
      <c r="K111" s="36">
        <f t="shared" si="14"/>
        <v>459651.22999999986</v>
      </c>
      <c r="L111" s="23">
        <v>146.52014652014651</v>
      </c>
      <c r="M111" s="24">
        <f t="shared" si="13"/>
        <v>67348165.567765549</v>
      </c>
      <c r="N111" s="19">
        <f t="shared" si="15"/>
        <v>1.8630000000000001E-2</v>
      </c>
      <c r="O111" s="24">
        <f t="shared" si="16"/>
        <v>1254696.3245274723</v>
      </c>
      <c r="P111" s="24">
        <f t="shared" si="17"/>
        <v>1882044.4867912084</v>
      </c>
      <c r="Q111" s="24">
        <f t="shared" si="18"/>
        <v>69230210.054556757</v>
      </c>
      <c r="R111" s="36">
        <f t="shared" si="19"/>
        <v>69230210.054556757</v>
      </c>
      <c r="S111" s="24">
        <v>103261507.33429362</v>
      </c>
      <c r="T111" s="24">
        <f t="shared" si="20"/>
        <v>1548922610.0144043</v>
      </c>
      <c r="U111" s="23">
        <f t="shared" si="21"/>
        <v>4.4695719209569128E-2</v>
      </c>
      <c r="V111" s="23">
        <f t="shared" si="22"/>
        <v>1.4898573069856376E-2</v>
      </c>
      <c r="W111" s="23">
        <f t="shared" si="23"/>
        <v>0.13408715762870738</v>
      </c>
    </row>
    <row r="112" spans="1:23" ht="15" customHeight="1" x14ac:dyDescent="0.25">
      <c r="A112" s="19" t="s">
        <v>245</v>
      </c>
      <c r="B112" s="19" t="s">
        <v>246</v>
      </c>
      <c r="C112" s="19" t="s">
        <v>14</v>
      </c>
      <c r="D112" s="19" t="s">
        <v>32</v>
      </c>
      <c r="E112" s="19" t="s">
        <v>467</v>
      </c>
      <c r="F112" s="23">
        <v>68.964152792292879</v>
      </c>
      <c r="G112" s="24">
        <v>3957990</v>
      </c>
      <c r="H112" s="24">
        <v>6395182</v>
      </c>
      <c r="I112" s="19">
        <v>72.3</v>
      </c>
      <c r="J112" s="24">
        <f t="shared" si="12"/>
        <v>1771465.4140000001</v>
      </c>
      <c r="K112" s="36">
        <f t="shared" si="14"/>
        <v>1771465.4140000001</v>
      </c>
      <c r="L112" s="23">
        <v>46.760187040748164</v>
      </c>
      <c r="M112" s="24">
        <f t="shared" si="13"/>
        <v>82834054.094856381</v>
      </c>
      <c r="N112" s="19">
        <f t="shared" si="15"/>
        <v>1.8630000000000001E-2</v>
      </c>
      <c r="O112" s="24">
        <f t="shared" si="16"/>
        <v>1543198.4277871745</v>
      </c>
      <c r="P112" s="24">
        <f t="shared" si="17"/>
        <v>2314797.6416807617</v>
      </c>
      <c r="Q112" s="24">
        <f t="shared" si="18"/>
        <v>85148851.736537144</v>
      </c>
      <c r="R112" s="36">
        <f t="shared" si="19"/>
        <v>85148851.736537144</v>
      </c>
      <c r="S112" s="24">
        <v>414154618.30642617</v>
      </c>
      <c r="T112" s="24">
        <f t="shared" si="20"/>
        <v>6212319274.5963926</v>
      </c>
      <c r="U112" s="23">
        <f t="shared" si="21"/>
        <v>1.3706451322411977E-2</v>
      </c>
      <c r="V112" s="23">
        <f t="shared" si="22"/>
        <v>4.5688171074706593E-3</v>
      </c>
      <c r="W112" s="23">
        <f t="shared" si="23"/>
        <v>4.1119353967235928E-2</v>
      </c>
    </row>
    <row r="113" spans="1:23" ht="15" customHeight="1" x14ac:dyDescent="0.25">
      <c r="A113" s="19" t="s">
        <v>247</v>
      </c>
      <c r="B113" s="19" t="s">
        <v>248</v>
      </c>
      <c r="C113" s="19" t="s">
        <v>18</v>
      </c>
      <c r="D113" s="19" t="s">
        <v>22</v>
      </c>
      <c r="E113" s="19" t="s">
        <v>466</v>
      </c>
      <c r="F113" s="23">
        <v>412.83830673143649</v>
      </c>
      <c r="G113" s="24">
        <v>6040612</v>
      </c>
      <c r="H113" s="24">
        <v>7459411</v>
      </c>
      <c r="I113" s="23" t="s">
        <v>232</v>
      </c>
      <c r="J113" s="24" t="e">
        <f t="shared" si="12"/>
        <v>#VALUE!</v>
      </c>
      <c r="K113" s="36">
        <f t="shared" si="14"/>
        <v>0</v>
      </c>
      <c r="L113" s="23" t="s">
        <v>232</v>
      </c>
      <c r="M113" s="24" t="e">
        <f t="shared" si="13"/>
        <v>#VALUE!</v>
      </c>
      <c r="N113" s="19" t="e">
        <f t="shared" si="15"/>
        <v>#VALUE!</v>
      </c>
      <c r="O113" s="24" t="e">
        <f t="shared" si="16"/>
        <v>#VALUE!</v>
      </c>
      <c r="P113" s="24" t="e">
        <f t="shared" si="17"/>
        <v>#VALUE!</v>
      </c>
      <c r="Q113" s="24" t="e">
        <f t="shared" si="18"/>
        <v>#VALUE!</v>
      </c>
      <c r="R113" s="36">
        <f t="shared" si="19"/>
        <v>0</v>
      </c>
      <c r="S113" s="23" t="s">
        <v>232</v>
      </c>
      <c r="T113" s="24" t="e">
        <f t="shared" si="20"/>
        <v>#VALUE!</v>
      </c>
      <c r="U113" s="23" t="e">
        <f t="shared" si="21"/>
        <v>#VALUE!</v>
      </c>
      <c r="V113" s="23" t="e">
        <f t="shared" si="22"/>
        <v>#VALUE!</v>
      </c>
      <c r="W113" s="23" t="e">
        <f t="shared" si="23"/>
        <v>#VALUE!</v>
      </c>
    </row>
    <row r="114" spans="1:23" ht="15" customHeight="1" x14ac:dyDescent="0.25">
      <c r="A114" s="19" t="s">
        <v>249</v>
      </c>
      <c r="B114" s="19" t="s">
        <v>250</v>
      </c>
      <c r="C114" s="19" t="s">
        <v>29</v>
      </c>
      <c r="D114" s="19" t="s">
        <v>19</v>
      </c>
      <c r="E114" s="19" t="s">
        <v>232</v>
      </c>
      <c r="F114" s="23" t="s">
        <v>232</v>
      </c>
      <c r="G114" s="24">
        <v>36120</v>
      </c>
      <c r="H114" s="24">
        <v>41314</v>
      </c>
      <c r="I114" s="23" t="s">
        <v>232</v>
      </c>
      <c r="J114" s="24" t="e">
        <f t="shared" si="12"/>
        <v>#VALUE!</v>
      </c>
      <c r="K114" s="36">
        <f t="shared" si="14"/>
        <v>0</v>
      </c>
      <c r="L114" s="23" t="s">
        <v>232</v>
      </c>
      <c r="M114" s="24" t="e">
        <f t="shared" si="13"/>
        <v>#VALUE!</v>
      </c>
      <c r="N114" s="19" t="e">
        <f t="shared" si="15"/>
        <v>#VALUE!</v>
      </c>
      <c r="O114" s="24" t="e">
        <f t="shared" si="16"/>
        <v>#VALUE!</v>
      </c>
      <c r="P114" s="24" t="e">
        <f t="shared" si="17"/>
        <v>#VALUE!</v>
      </c>
      <c r="Q114" s="24" t="e">
        <f t="shared" si="18"/>
        <v>#VALUE!</v>
      </c>
      <c r="R114" s="36">
        <f t="shared" si="19"/>
        <v>0</v>
      </c>
      <c r="S114" s="23" t="s">
        <v>232</v>
      </c>
      <c r="T114" s="24" t="e">
        <f t="shared" si="20"/>
        <v>#VALUE!</v>
      </c>
      <c r="U114" s="23" t="e">
        <f t="shared" si="21"/>
        <v>#VALUE!</v>
      </c>
      <c r="V114" s="23" t="e">
        <f t="shared" si="22"/>
        <v>#VALUE!</v>
      </c>
      <c r="W114" s="23" t="e">
        <f t="shared" si="23"/>
        <v>#VALUE!</v>
      </c>
    </row>
    <row r="115" spans="1:23" ht="15" customHeight="1" x14ac:dyDescent="0.25">
      <c r="A115" s="19" t="s">
        <v>251</v>
      </c>
      <c r="B115" s="19" t="s">
        <v>252</v>
      </c>
      <c r="C115" s="19" t="s">
        <v>29</v>
      </c>
      <c r="D115" s="19" t="s">
        <v>19</v>
      </c>
      <c r="E115" s="19" t="s">
        <v>232</v>
      </c>
      <c r="F115" s="23">
        <v>270.56505523889945</v>
      </c>
      <c r="G115" s="24">
        <v>3097282</v>
      </c>
      <c r="H115" s="24">
        <v>2816749</v>
      </c>
      <c r="I115" s="19">
        <v>95</v>
      </c>
      <c r="J115" s="24">
        <f t="shared" si="12"/>
        <v>140837.45000000013</v>
      </c>
      <c r="K115" s="36">
        <f t="shared" si="14"/>
        <v>140837.45000000013</v>
      </c>
      <c r="L115" s="23">
        <v>270.56505523889945</v>
      </c>
      <c r="M115" s="24">
        <f t="shared" si="13"/>
        <v>38105692.438955776</v>
      </c>
      <c r="N115" s="19">
        <f t="shared" si="15"/>
        <v>1.8630000000000001E-2</v>
      </c>
      <c r="O115" s="24">
        <f t="shared" si="16"/>
        <v>709909.05013774615</v>
      </c>
      <c r="P115" s="24">
        <f t="shared" si="17"/>
        <v>1064863.5752066192</v>
      </c>
      <c r="Q115" s="24">
        <f t="shared" si="18"/>
        <v>39170556.014162399</v>
      </c>
      <c r="R115" s="36">
        <f t="shared" si="19"/>
        <v>39170556.014162399</v>
      </c>
      <c r="S115" s="24">
        <v>397630289.50000304</v>
      </c>
      <c r="T115" s="24">
        <f t="shared" si="20"/>
        <v>5964454342.5000458</v>
      </c>
      <c r="U115" s="23">
        <f t="shared" si="21"/>
        <v>6.5673326954739947E-3</v>
      </c>
      <c r="V115" s="23">
        <f t="shared" si="22"/>
        <v>2.1891108984913314E-3</v>
      </c>
      <c r="W115" s="23">
        <f t="shared" si="23"/>
        <v>1.9701998086421986E-2</v>
      </c>
    </row>
    <row r="116" spans="1:23" ht="15" customHeight="1" x14ac:dyDescent="0.25">
      <c r="A116" s="19" t="s">
        <v>253</v>
      </c>
      <c r="B116" s="19" t="s">
        <v>254</v>
      </c>
      <c r="C116" s="19" t="s">
        <v>45</v>
      </c>
      <c r="D116" s="19" t="s">
        <v>19</v>
      </c>
      <c r="E116" s="19" t="s">
        <v>232</v>
      </c>
      <c r="F116" s="23" t="s">
        <v>232</v>
      </c>
      <c r="G116" s="24">
        <v>506953</v>
      </c>
      <c r="H116" s="24">
        <v>636826</v>
      </c>
      <c r="I116" s="19">
        <v>100</v>
      </c>
      <c r="J116" s="24">
        <f t="shared" si="12"/>
        <v>0</v>
      </c>
      <c r="K116" s="36">
        <f t="shared" si="14"/>
        <v>0</v>
      </c>
      <c r="L116" s="23" t="s">
        <v>232</v>
      </c>
      <c r="M116" s="24" t="e">
        <f t="shared" si="13"/>
        <v>#VALUE!</v>
      </c>
      <c r="N116" s="19" t="e">
        <f t="shared" si="15"/>
        <v>#VALUE!</v>
      </c>
      <c r="O116" s="24" t="e">
        <f t="shared" si="16"/>
        <v>#VALUE!</v>
      </c>
      <c r="P116" s="24" t="e">
        <f t="shared" si="17"/>
        <v>#VALUE!</v>
      </c>
      <c r="Q116" s="24" t="e">
        <f t="shared" si="18"/>
        <v>#VALUE!</v>
      </c>
      <c r="R116" s="36">
        <f t="shared" si="19"/>
        <v>0</v>
      </c>
      <c r="S116" s="24">
        <v>58508352.210030153</v>
      </c>
      <c r="T116" s="24">
        <f t="shared" si="20"/>
        <v>877625283.15045226</v>
      </c>
      <c r="U116" s="23" t="e">
        <f t="shared" si="21"/>
        <v>#VALUE!</v>
      </c>
      <c r="V116" s="23" t="e">
        <f t="shared" si="22"/>
        <v>#VALUE!</v>
      </c>
      <c r="W116" s="23" t="e">
        <f t="shared" si="23"/>
        <v>#VALUE!</v>
      </c>
    </row>
    <row r="117" spans="1:23" ht="15" customHeight="1" x14ac:dyDescent="0.25">
      <c r="A117" s="19" t="s">
        <v>255</v>
      </c>
      <c r="B117" s="19" t="s">
        <v>256</v>
      </c>
      <c r="C117" s="19" t="s">
        <v>29</v>
      </c>
      <c r="D117" s="19" t="s">
        <v>26</v>
      </c>
      <c r="E117" s="19" t="s">
        <v>232</v>
      </c>
      <c r="F117" s="23">
        <v>162.92664529511597</v>
      </c>
      <c r="G117" s="24">
        <v>534626</v>
      </c>
      <c r="H117" s="24">
        <v>701551</v>
      </c>
      <c r="I117" s="23" t="s">
        <v>232</v>
      </c>
      <c r="J117" s="24" t="e">
        <f t="shared" si="12"/>
        <v>#VALUE!</v>
      </c>
      <c r="K117" s="36">
        <f t="shared" si="14"/>
        <v>0</v>
      </c>
      <c r="L117" s="23" t="s">
        <v>232</v>
      </c>
      <c r="M117" s="24" t="e">
        <f t="shared" si="13"/>
        <v>#VALUE!</v>
      </c>
      <c r="N117" s="19" t="e">
        <f t="shared" si="15"/>
        <v>#VALUE!</v>
      </c>
      <c r="O117" s="24" t="e">
        <f t="shared" si="16"/>
        <v>#VALUE!</v>
      </c>
      <c r="P117" s="24" t="e">
        <f t="shared" si="17"/>
        <v>#VALUE!</v>
      </c>
      <c r="Q117" s="24" t="e">
        <f t="shared" si="18"/>
        <v>#VALUE!</v>
      </c>
      <c r="R117" s="36">
        <f t="shared" si="19"/>
        <v>0</v>
      </c>
      <c r="S117" s="24">
        <v>278781.88696400158</v>
      </c>
      <c r="T117" s="24">
        <f t="shared" si="20"/>
        <v>4181728.3044600235</v>
      </c>
      <c r="U117" s="23" t="e">
        <f t="shared" si="21"/>
        <v>#VALUE!</v>
      </c>
      <c r="V117" s="23" t="e">
        <f t="shared" si="22"/>
        <v>#VALUE!</v>
      </c>
      <c r="W117" s="23" t="e">
        <f t="shared" si="23"/>
        <v>#VALUE!</v>
      </c>
    </row>
    <row r="118" spans="1:23" ht="15" customHeight="1" x14ac:dyDescent="0.25">
      <c r="A118" s="19" t="s">
        <v>257</v>
      </c>
      <c r="B118" s="19" t="s">
        <v>258</v>
      </c>
      <c r="C118" s="19" t="s">
        <v>18</v>
      </c>
      <c r="D118" s="19" t="s">
        <v>19</v>
      </c>
      <c r="E118" s="19" t="s">
        <v>232</v>
      </c>
      <c r="F118" s="23" t="s">
        <v>232</v>
      </c>
      <c r="G118" s="24">
        <v>2102216</v>
      </c>
      <c r="H118" s="24">
        <v>2068730</v>
      </c>
      <c r="I118" s="19">
        <v>99.4</v>
      </c>
      <c r="J118" s="24">
        <f t="shared" si="12"/>
        <v>12412.379999999781</v>
      </c>
      <c r="K118" s="36">
        <f t="shared" si="14"/>
        <v>12412.379999999781</v>
      </c>
      <c r="L118" s="23" t="s">
        <v>232</v>
      </c>
      <c r="M118" s="24" t="e">
        <f t="shared" si="13"/>
        <v>#VALUE!</v>
      </c>
      <c r="N118" s="19" t="e">
        <f t="shared" si="15"/>
        <v>#VALUE!</v>
      </c>
      <c r="O118" s="24" t="e">
        <f t="shared" si="16"/>
        <v>#VALUE!</v>
      </c>
      <c r="P118" s="24" t="e">
        <f t="shared" si="17"/>
        <v>#VALUE!</v>
      </c>
      <c r="Q118" s="24" t="e">
        <f t="shared" si="18"/>
        <v>#VALUE!</v>
      </c>
      <c r="R118" s="36">
        <f t="shared" si="19"/>
        <v>0</v>
      </c>
      <c r="S118" s="24">
        <v>424368475.62691891</v>
      </c>
      <c r="T118" s="24">
        <f t="shared" si="20"/>
        <v>6365527134.4037838</v>
      </c>
      <c r="U118" s="23" t="e">
        <f t="shared" si="21"/>
        <v>#VALUE!</v>
      </c>
      <c r="V118" s="23" t="e">
        <f t="shared" si="22"/>
        <v>#VALUE!</v>
      </c>
      <c r="W118" s="23" t="e">
        <f t="shared" si="23"/>
        <v>#VALUE!</v>
      </c>
    </row>
    <row r="119" spans="1:23" ht="15" customHeight="1" x14ac:dyDescent="0.25">
      <c r="A119" s="19" t="s">
        <v>259</v>
      </c>
      <c r="B119" s="19" t="s">
        <v>260</v>
      </c>
      <c r="C119" s="19" t="s">
        <v>14</v>
      </c>
      <c r="D119" s="19" t="s">
        <v>32</v>
      </c>
      <c r="E119" s="19" t="s">
        <v>467</v>
      </c>
      <c r="F119" s="23">
        <v>68.964152792292879</v>
      </c>
      <c r="G119" s="24">
        <v>21079532</v>
      </c>
      <c r="H119" s="24">
        <v>36000163</v>
      </c>
      <c r="I119" s="19">
        <v>47.6</v>
      </c>
      <c r="J119" s="24">
        <f t="shared" si="12"/>
        <v>18864085.412</v>
      </c>
      <c r="K119" s="36">
        <f t="shared" si="14"/>
        <v>18864085.412</v>
      </c>
      <c r="L119" s="23">
        <v>21.121631463947558</v>
      </c>
      <c r="M119" s="24">
        <f t="shared" si="13"/>
        <v>398440259.97669333</v>
      </c>
      <c r="N119" s="19">
        <f t="shared" si="15"/>
        <v>1.8630000000000001E-2</v>
      </c>
      <c r="O119" s="24">
        <f t="shared" si="16"/>
        <v>7422942.043365797</v>
      </c>
      <c r="P119" s="24">
        <f t="shared" si="17"/>
        <v>11134413.065048695</v>
      </c>
      <c r="Q119" s="24">
        <f t="shared" si="18"/>
        <v>409574673.04174203</v>
      </c>
      <c r="R119" s="36">
        <f t="shared" si="19"/>
        <v>409574673.04174203</v>
      </c>
      <c r="S119" s="24">
        <v>692026009.85163426</v>
      </c>
      <c r="T119" s="24">
        <f t="shared" si="20"/>
        <v>10380390147.774513</v>
      </c>
      <c r="U119" s="23">
        <f t="shared" si="21"/>
        <v>3.9456577952376108E-2</v>
      </c>
      <c r="V119" s="23">
        <f t="shared" si="22"/>
        <v>1.3152192650792037E-2</v>
      </c>
      <c r="W119" s="23">
        <f t="shared" si="23"/>
        <v>0.11836973385712832</v>
      </c>
    </row>
    <row r="120" spans="1:23" ht="15" customHeight="1" x14ac:dyDescent="0.25">
      <c r="A120" s="19" t="s">
        <v>261</v>
      </c>
      <c r="B120" s="19" t="s">
        <v>262</v>
      </c>
      <c r="C120" s="19" t="s">
        <v>14</v>
      </c>
      <c r="D120" s="19" t="s">
        <v>32</v>
      </c>
      <c r="E120" s="19" t="s">
        <v>467</v>
      </c>
      <c r="F120" s="23">
        <v>68.964152792292879</v>
      </c>
      <c r="G120" s="24">
        <v>15013694</v>
      </c>
      <c r="H120" s="24">
        <v>25959551</v>
      </c>
      <c r="I120" s="19">
        <v>81.3</v>
      </c>
      <c r="J120" s="24">
        <f t="shared" si="12"/>
        <v>4854436.0370000014</v>
      </c>
      <c r="K120" s="36">
        <f t="shared" si="14"/>
        <v>4854436.0370000014</v>
      </c>
      <c r="L120" s="23">
        <v>23.900381602731471</v>
      </c>
      <c r="M120" s="24">
        <f t="shared" si="13"/>
        <v>116022873.7503515</v>
      </c>
      <c r="N120" s="19">
        <f t="shared" si="15"/>
        <v>1.8630000000000001E-2</v>
      </c>
      <c r="O120" s="24">
        <f t="shared" si="16"/>
        <v>2161506.1379690487</v>
      </c>
      <c r="P120" s="24">
        <f t="shared" si="17"/>
        <v>3242259.206953573</v>
      </c>
      <c r="Q120" s="24">
        <f t="shared" si="18"/>
        <v>119265132.95730507</v>
      </c>
      <c r="R120" s="36">
        <f t="shared" si="19"/>
        <v>119265132.95730507</v>
      </c>
      <c r="S120" s="24">
        <v>403920728.59788555</v>
      </c>
      <c r="T120" s="24">
        <f t="shared" si="20"/>
        <v>6058810928.9682837</v>
      </c>
      <c r="U120" s="23">
        <f t="shared" si="21"/>
        <v>1.9684577445233793E-2</v>
      </c>
      <c r="V120" s="23">
        <f t="shared" si="22"/>
        <v>6.5615258150779308E-3</v>
      </c>
      <c r="W120" s="23">
        <f t="shared" si="23"/>
        <v>5.9053732335701374E-2</v>
      </c>
    </row>
    <row r="121" spans="1:23" ht="15" customHeight="1" x14ac:dyDescent="0.25">
      <c r="A121" s="19" t="s">
        <v>263</v>
      </c>
      <c r="B121" s="19" t="s">
        <v>264</v>
      </c>
      <c r="C121" s="19" t="s">
        <v>18</v>
      </c>
      <c r="D121" s="19" t="s">
        <v>26</v>
      </c>
      <c r="E121" s="19" t="s">
        <v>471</v>
      </c>
      <c r="F121" s="23">
        <v>286.39139284675775</v>
      </c>
      <c r="G121" s="24">
        <v>28275835</v>
      </c>
      <c r="H121" s="24">
        <v>36845517</v>
      </c>
      <c r="I121" s="19">
        <v>99.6</v>
      </c>
      <c r="J121" s="24">
        <f t="shared" si="12"/>
        <v>147382.06800000014</v>
      </c>
      <c r="K121" s="36">
        <f t="shared" si="14"/>
        <v>147382.06800000014</v>
      </c>
      <c r="L121" s="23">
        <v>537.54789272030655</v>
      </c>
      <c r="M121" s="24">
        <f t="shared" si="13"/>
        <v>79224920.078161001</v>
      </c>
      <c r="N121" s="19">
        <f t="shared" si="15"/>
        <v>1.8630000000000001E-2</v>
      </c>
      <c r="O121" s="24">
        <f t="shared" si="16"/>
        <v>1475960.2610561396</v>
      </c>
      <c r="P121" s="24">
        <f t="shared" si="17"/>
        <v>2213940.3915842096</v>
      </c>
      <c r="Q121" s="24">
        <f t="shared" si="18"/>
        <v>81438860.469745204</v>
      </c>
      <c r="R121" s="36">
        <f t="shared" si="19"/>
        <v>81438860.469745204</v>
      </c>
      <c r="S121" s="24">
        <v>26660491900.712803</v>
      </c>
      <c r="T121" s="24">
        <f t="shared" si="20"/>
        <v>399907378510.69202</v>
      </c>
      <c r="U121" s="23">
        <f t="shared" si="21"/>
        <v>2.0364430577158714E-4</v>
      </c>
      <c r="V121" s="23">
        <f t="shared" si="22"/>
        <v>6.7881435257195706E-5</v>
      </c>
      <c r="W121" s="23">
        <f t="shared" si="23"/>
        <v>6.1093291731476138E-4</v>
      </c>
    </row>
    <row r="122" spans="1:23" ht="15" customHeight="1" x14ac:dyDescent="0.25">
      <c r="A122" s="19" t="s">
        <v>265</v>
      </c>
      <c r="B122" s="19" t="s">
        <v>266</v>
      </c>
      <c r="C122" s="19" t="s">
        <v>18</v>
      </c>
      <c r="D122" s="19" t="s">
        <v>15</v>
      </c>
      <c r="E122" s="19" t="s">
        <v>465</v>
      </c>
      <c r="F122" s="23">
        <v>25.998990717254753</v>
      </c>
      <c r="G122" s="24">
        <v>325694</v>
      </c>
      <c r="H122" s="24">
        <v>435873</v>
      </c>
      <c r="I122" s="19">
        <v>98.3</v>
      </c>
      <c r="J122" s="24">
        <f t="shared" si="12"/>
        <v>7409.8410000000067</v>
      </c>
      <c r="K122" s="36">
        <f t="shared" si="14"/>
        <v>7409.8410000000067</v>
      </c>
      <c r="L122" s="23">
        <v>64.516129032258064</v>
      </c>
      <c r="M122" s="24">
        <f t="shared" si="13"/>
        <v>478054.25806451659</v>
      </c>
      <c r="N122" s="19">
        <f t="shared" si="15"/>
        <v>1.8630000000000004E-2</v>
      </c>
      <c r="O122" s="24">
        <f t="shared" si="16"/>
        <v>8906.1508277419452</v>
      </c>
      <c r="P122" s="24">
        <f t="shared" si="17"/>
        <v>13359.226241612918</v>
      </c>
      <c r="Q122" s="24">
        <f t="shared" si="18"/>
        <v>491413.48430612951</v>
      </c>
      <c r="R122" s="36">
        <f t="shared" si="19"/>
        <v>491413.48430612951</v>
      </c>
      <c r="S122" s="24">
        <v>1158905.3361817906</v>
      </c>
      <c r="T122" s="24">
        <f t="shared" si="20"/>
        <v>17383580.042726859</v>
      </c>
      <c r="U122" s="23">
        <f t="shared" si="21"/>
        <v>2.8268830879386822E-2</v>
      </c>
      <c r="V122" s="23">
        <f t="shared" si="22"/>
        <v>9.422943626462274E-3</v>
      </c>
      <c r="W122" s="23">
        <f t="shared" si="23"/>
        <v>8.4806492638160452E-2</v>
      </c>
    </row>
    <row r="123" spans="1:23" ht="15" customHeight="1" x14ac:dyDescent="0.25">
      <c r="A123" s="19" t="s">
        <v>267</v>
      </c>
      <c r="B123" s="19" t="s">
        <v>268</v>
      </c>
      <c r="C123" s="19" t="s">
        <v>14</v>
      </c>
      <c r="D123" s="19" t="s">
        <v>32</v>
      </c>
      <c r="E123" s="19" t="s">
        <v>467</v>
      </c>
      <c r="F123" s="23">
        <v>68.964152792292879</v>
      </c>
      <c r="G123" s="24">
        <v>13985961</v>
      </c>
      <c r="H123" s="24">
        <v>26034111</v>
      </c>
      <c r="I123" s="19">
        <v>63.6</v>
      </c>
      <c r="J123" s="24">
        <f t="shared" si="12"/>
        <v>9476416.4039999992</v>
      </c>
      <c r="K123" s="36">
        <f t="shared" si="14"/>
        <v>9476416.4039999992</v>
      </c>
      <c r="L123" s="23">
        <v>72.586755569025613</v>
      </c>
      <c r="M123" s="24">
        <f t="shared" si="13"/>
        <v>687862321.18745255</v>
      </c>
      <c r="N123" s="19">
        <f t="shared" si="15"/>
        <v>1.8630000000000001E-2</v>
      </c>
      <c r="O123" s="24">
        <f t="shared" si="16"/>
        <v>12814875.043722242</v>
      </c>
      <c r="P123" s="24">
        <f t="shared" si="17"/>
        <v>19222312.565583363</v>
      </c>
      <c r="Q123" s="24">
        <f t="shared" si="18"/>
        <v>707084633.7530359</v>
      </c>
      <c r="R123" s="36">
        <f t="shared" si="19"/>
        <v>707084633.7530359</v>
      </c>
      <c r="S123" s="24">
        <v>1347245165.1593575</v>
      </c>
      <c r="T123" s="24">
        <f t="shared" si="20"/>
        <v>20208677477.390362</v>
      </c>
      <c r="U123" s="23">
        <f t="shared" si="21"/>
        <v>3.4989159213616436E-2</v>
      </c>
      <c r="V123" s="23">
        <f t="shared" si="22"/>
        <v>1.1663053071205479E-2</v>
      </c>
      <c r="W123" s="23">
        <f t="shared" si="23"/>
        <v>0.10496747764084929</v>
      </c>
    </row>
    <row r="124" spans="1:23" ht="15" customHeight="1" x14ac:dyDescent="0.25">
      <c r="A124" s="19" t="s">
        <v>269</v>
      </c>
      <c r="B124" s="19" t="s">
        <v>270</v>
      </c>
      <c r="C124" s="19" t="s">
        <v>29</v>
      </c>
      <c r="D124" s="19" t="s">
        <v>22</v>
      </c>
      <c r="E124" s="19" t="s">
        <v>232</v>
      </c>
      <c r="F124" s="23" t="s">
        <v>232</v>
      </c>
      <c r="G124" s="24">
        <v>414508</v>
      </c>
      <c r="H124" s="24">
        <v>436792</v>
      </c>
      <c r="I124" s="19">
        <v>100</v>
      </c>
      <c r="J124" s="24">
        <f t="shared" si="12"/>
        <v>0</v>
      </c>
      <c r="K124" s="36">
        <f t="shared" si="14"/>
        <v>0</v>
      </c>
      <c r="L124" s="23" t="s">
        <v>232</v>
      </c>
      <c r="M124" s="24" t="e">
        <f t="shared" si="13"/>
        <v>#VALUE!</v>
      </c>
      <c r="N124" s="19" t="e">
        <f t="shared" si="15"/>
        <v>#VALUE!</v>
      </c>
      <c r="O124" s="24" t="e">
        <f t="shared" si="16"/>
        <v>#VALUE!</v>
      </c>
      <c r="P124" s="24" t="e">
        <f t="shared" si="17"/>
        <v>#VALUE!</v>
      </c>
      <c r="Q124" s="24" t="e">
        <f t="shared" si="18"/>
        <v>#VALUE!</v>
      </c>
      <c r="R124" s="36">
        <f t="shared" si="19"/>
        <v>0</v>
      </c>
      <c r="S124" s="24">
        <v>0</v>
      </c>
      <c r="T124" s="24">
        <f t="shared" si="20"/>
        <v>0</v>
      </c>
      <c r="U124" s="23" t="e">
        <f t="shared" si="21"/>
        <v>#VALUE!</v>
      </c>
      <c r="V124" s="23" t="e">
        <f t="shared" si="22"/>
        <v>#VALUE!</v>
      </c>
      <c r="W124" s="23" t="e">
        <f t="shared" si="23"/>
        <v>#VALUE!</v>
      </c>
    </row>
    <row r="125" spans="1:23" s="31" customFormat="1" ht="15" customHeight="1" x14ac:dyDescent="0.25">
      <c r="A125" s="31" t="s">
        <v>271</v>
      </c>
      <c r="B125" s="31" t="s">
        <v>272</v>
      </c>
      <c r="C125" s="31" t="s">
        <v>18</v>
      </c>
      <c r="D125" s="31" t="s">
        <v>26</v>
      </c>
      <c r="E125" s="19" t="s">
        <v>232</v>
      </c>
      <c r="F125" s="29">
        <v>162.92664529511597</v>
      </c>
      <c r="G125" s="30">
        <v>52428</v>
      </c>
      <c r="H125" s="30">
        <v>58101</v>
      </c>
      <c r="I125" s="31">
        <v>94.3</v>
      </c>
      <c r="J125" s="24">
        <f t="shared" si="12"/>
        <v>3311.7570000000028</v>
      </c>
      <c r="K125" s="36">
        <f t="shared" si="14"/>
        <v>3311.7570000000028</v>
      </c>
      <c r="L125" s="29">
        <v>162.92664529511597</v>
      </c>
      <c r="M125" s="24">
        <f t="shared" si="13"/>
        <v>539573.45804261789</v>
      </c>
      <c r="N125" s="19">
        <f t="shared" si="15"/>
        <v>1.8630000000000001E-2</v>
      </c>
      <c r="O125" s="24">
        <f t="shared" si="16"/>
        <v>10052.253523333971</v>
      </c>
      <c r="P125" s="24">
        <f t="shared" si="17"/>
        <v>15078.380285000958</v>
      </c>
      <c r="Q125" s="24">
        <f t="shared" si="18"/>
        <v>554651.8383276189</v>
      </c>
      <c r="R125" s="36">
        <f t="shared" si="19"/>
        <v>554651.8383276189</v>
      </c>
      <c r="S125" s="24">
        <v>0</v>
      </c>
      <c r="T125" s="24">
        <f t="shared" si="20"/>
        <v>0</v>
      </c>
      <c r="U125" s="23" t="e">
        <f t="shared" si="21"/>
        <v>#DIV/0!</v>
      </c>
      <c r="V125" s="23" t="e">
        <f t="shared" si="22"/>
        <v>#DIV/0!</v>
      </c>
      <c r="W125" s="23" t="e">
        <f t="shared" si="23"/>
        <v>#DIV/0!</v>
      </c>
    </row>
    <row r="126" spans="1:23" ht="15" customHeight="1" x14ac:dyDescent="0.25">
      <c r="A126" s="19" t="s">
        <v>273</v>
      </c>
      <c r="B126" s="19" t="s">
        <v>274</v>
      </c>
      <c r="C126" s="19" t="s">
        <v>40</v>
      </c>
      <c r="D126" s="19" t="s">
        <v>32</v>
      </c>
      <c r="E126" s="19" t="s">
        <v>467</v>
      </c>
      <c r="F126" s="23">
        <v>68.964152792292879</v>
      </c>
      <c r="G126" s="24">
        <v>3609420</v>
      </c>
      <c r="H126" s="24">
        <v>5640323</v>
      </c>
      <c r="I126" s="19">
        <v>49.6</v>
      </c>
      <c r="J126" s="24">
        <f t="shared" si="12"/>
        <v>2842722.7919999999</v>
      </c>
      <c r="K126" s="36">
        <f t="shared" si="14"/>
        <v>2842722.7919999999</v>
      </c>
      <c r="L126" s="23">
        <v>145.5604075691412</v>
      </c>
      <c r="M126" s="24">
        <f t="shared" si="13"/>
        <v>413787888.20960701</v>
      </c>
      <c r="N126" s="19">
        <f t="shared" si="15"/>
        <v>1.8630000000000001E-2</v>
      </c>
      <c r="O126" s="24">
        <f t="shared" si="16"/>
        <v>7708868.3573449785</v>
      </c>
      <c r="P126" s="24">
        <f t="shared" si="17"/>
        <v>11563302.536017468</v>
      </c>
      <c r="Q126" s="24">
        <f t="shared" si="18"/>
        <v>425351190.74562448</v>
      </c>
      <c r="R126" s="36">
        <f t="shared" si="19"/>
        <v>425351190.74562448</v>
      </c>
      <c r="S126" s="24">
        <v>1996969500.3540106</v>
      </c>
      <c r="T126" s="24">
        <f t="shared" si="20"/>
        <v>29954542505.310158</v>
      </c>
      <c r="U126" s="23">
        <f t="shared" si="21"/>
        <v>1.4199889404761259E-2</v>
      </c>
      <c r="V126" s="23">
        <f t="shared" si="22"/>
        <v>4.7332964682537523E-3</v>
      </c>
      <c r="W126" s="23">
        <f t="shared" si="23"/>
        <v>4.2599668214283772E-2</v>
      </c>
    </row>
    <row r="127" spans="1:23" ht="15" customHeight="1" x14ac:dyDescent="0.25">
      <c r="A127" s="19" t="s">
        <v>275</v>
      </c>
      <c r="B127" s="19" t="s">
        <v>276</v>
      </c>
      <c r="C127" s="19" t="s">
        <v>18</v>
      </c>
      <c r="D127" s="19" t="s">
        <v>32</v>
      </c>
      <c r="E127" s="19" t="s">
        <v>467</v>
      </c>
      <c r="F127" s="23">
        <v>68.964152792292879</v>
      </c>
      <c r="G127" s="24">
        <v>1280924</v>
      </c>
      <c r="H127" s="24">
        <v>1287944</v>
      </c>
      <c r="I127" s="19">
        <v>99.7</v>
      </c>
      <c r="J127" s="24">
        <f t="shared" si="12"/>
        <v>3863.8320000000035</v>
      </c>
      <c r="K127" s="36">
        <f t="shared" si="14"/>
        <v>3863.8320000000035</v>
      </c>
      <c r="L127" s="23">
        <v>479.16666666666669</v>
      </c>
      <c r="M127" s="24">
        <f t="shared" si="13"/>
        <v>1851419.5000000019</v>
      </c>
      <c r="N127" s="19">
        <f t="shared" si="15"/>
        <v>1.8630000000000001E-2</v>
      </c>
      <c r="O127" s="24">
        <f t="shared" si="16"/>
        <v>34491.945285000038</v>
      </c>
      <c r="P127" s="24">
        <f t="shared" si="17"/>
        <v>51737.917927500057</v>
      </c>
      <c r="Q127" s="24">
        <f t="shared" si="18"/>
        <v>1903157.417927502</v>
      </c>
      <c r="R127" s="36">
        <f t="shared" si="19"/>
        <v>1903157.417927502</v>
      </c>
      <c r="S127" s="24">
        <v>717808.34286977118</v>
      </c>
      <c r="T127" s="24">
        <f t="shared" si="20"/>
        <v>10767125.143046567</v>
      </c>
      <c r="U127" s="23">
        <f t="shared" si="21"/>
        <v>0.1767563200615872</v>
      </c>
      <c r="V127" s="23">
        <f t="shared" si="22"/>
        <v>5.8918773353862398E-2</v>
      </c>
      <c r="W127" s="23">
        <f t="shared" si="23"/>
        <v>0.53026896018476166</v>
      </c>
    </row>
    <row r="128" spans="1:23" ht="15" customHeight="1" x14ac:dyDescent="0.25">
      <c r="A128" s="19" t="s">
        <v>277</v>
      </c>
      <c r="B128" s="19" t="s">
        <v>278</v>
      </c>
      <c r="C128" s="19" t="s">
        <v>18</v>
      </c>
      <c r="D128" s="19" t="s">
        <v>35</v>
      </c>
      <c r="E128" s="19" t="s">
        <v>468</v>
      </c>
      <c r="F128" s="23">
        <v>457.1136934673367</v>
      </c>
      <c r="G128" s="24">
        <v>117886404</v>
      </c>
      <c r="H128" s="24">
        <v>143662574</v>
      </c>
      <c r="I128" s="19">
        <v>93.9</v>
      </c>
      <c r="J128" s="24">
        <f t="shared" si="12"/>
        <v>8763417.0139999911</v>
      </c>
      <c r="K128" s="36">
        <f t="shared" si="14"/>
        <v>8763417.0139999911</v>
      </c>
      <c r="L128" s="23">
        <v>567.81062642133554</v>
      </c>
      <c r="M128" s="24">
        <f t="shared" si="13"/>
        <v>4975961304.3107252</v>
      </c>
      <c r="N128" s="19">
        <f t="shared" si="15"/>
        <v>1.8630000000000001E-2</v>
      </c>
      <c r="O128" s="24">
        <f t="shared" si="16"/>
        <v>92702159.099308819</v>
      </c>
      <c r="P128" s="24">
        <f t="shared" si="17"/>
        <v>139053238.64896321</v>
      </c>
      <c r="Q128" s="24">
        <f t="shared" si="18"/>
        <v>5115014542.9596882</v>
      </c>
      <c r="R128" s="36">
        <f t="shared" si="19"/>
        <v>5115014542.9596882</v>
      </c>
      <c r="S128" s="24">
        <v>79509538709.839935</v>
      </c>
      <c r="T128" s="24">
        <f t="shared" si="20"/>
        <v>1192643080647.5991</v>
      </c>
      <c r="U128" s="23">
        <f t="shared" si="21"/>
        <v>4.2888057843611192E-3</v>
      </c>
      <c r="V128" s="23">
        <f t="shared" si="22"/>
        <v>1.4296019281203731E-3</v>
      </c>
      <c r="W128" s="23">
        <f t="shared" si="23"/>
        <v>1.2866417353083359E-2</v>
      </c>
    </row>
    <row r="129" spans="1:23" ht="15" customHeight="1" x14ac:dyDescent="0.25">
      <c r="A129" s="19" t="s">
        <v>279</v>
      </c>
      <c r="B129" s="19" t="s">
        <v>280</v>
      </c>
      <c r="C129" s="19" t="s">
        <v>40</v>
      </c>
      <c r="D129" s="19" t="s">
        <v>26</v>
      </c>
      <c r="E129" s="19" t="s">
        <v>232</v>
      </c>
      <c r="F129" s="23">
        <v>162.92664529511597</v>
      </c>
      <c r="G129" s="24">
        <v>103619</v>
      </c>
      <c r="H129" s="24">
        <v>120664</v>
      </c>
      <c r="I129" s="19">
        <v>89.2</v>
      </c>
      <c r="J129" s="24">
        <f t="shared" si="12"/>
        <v>13031.711999999998</v>
      </c>
      <c r="K129" s="36">
        <f t="shared" si="14"/>
        <v>13031.711999999998</v>
      </c>
      <c r="L129" s="23">
        <v>162.92664529511597</v>
      </c>
      <c r="M129" s="24">
        <f t="shared" si="13"/>
        <v>2123213.118612106</v>
      </c>
      <c r="N129" s="19">
        <f t="shared" si="15"/>
        <v>1.8630000000000001E-2</v>
      </c>
      <c r="O129" s="24">
        <f t="shared" si="16"/>
        <v>39555.460399743533</v>
      </c>
      <c r="P129" s="24">
        <f t="shared" si="17"/>
        <v>59333.1905996153</v>
      </c>
      <c r="Q129" s="24">
        <f t="shared" si="18"/>
        <v>2182546.3092117212</v>
      </c>
      <c r="R129" s="36">
        <f t="shared" si="19"/>
        <v>2182546.3092117212</v>
      </c>
      <c r="S129" s="24">
        <v>122710.4341582333</v>
      </c>
      <c r="T129" s="24">
        <f t="shared" si="20"/>
        <v>1840656.5123734996</v>
      </c>
      <c r="U129" s="23">
        <f t="shared" si="21"/>
        <v>1.1857433989122499</v>
      </c>
      <c r="V129" s="23">
        <f t="shared" si="22"/>
        <v>0.39524779963741663</v>
      </c>
      <c r="W129" s="23">
        <f t="shared" si="23"/>
        <v>3.5572301967367497</v>
      </c>
    </row>
    <row r="130" spans="1:23" ht="15" customHeight="1" x14ac:dyDescent="0.25">
      <c r="A130" s="19" t="s">
        <v>281</v>
      </c>
      <c r="B130" s="19" t="s">
        <v>282</v>
      </c>
      <c r="C130" s="19" t="s">
        <v>40</v>
      </c>
      <c r="D130" s="19" t="s">
        <v>19</v>
      </c>
      <c r="E130" s="19" t="s">
        <v>232</v>
      </c>
      <c r="F130" s="23">
        <v>270.56505523889945</v>
      </c>
      <c r="G130" s="24">
        <v>3562045</v>
      </c>
      <c r="H130" s="24">
        <v>3066205</v>
      </c>
      <c r="I130" s="19">
        <v>96</v>
      </c>
      <c r="J130" s="24">
        <f t="shared" si="12"/>
        <v>122648.20000000011</v>
      </c>
      <c r="K130" s="36">
        <f t="shared" si="14"/>
        <v>122648.20000000011</v>
      </c>
      <c r="L130" s="23">
        <v>270.56505523889945</v>
      </c>
      <c r="M130" s="24">
        <f t="shared" si="13"/>
        <v>33184317.007951617</v>
      </c>
      <c r="N130" s="19">
        <f t="shared" si="15"/>
        <v>1.8630000000000001E-2</v>
      </c>
      <c r="O130" s="24">
        <f t="shared" si="16"/>
        <v>618223.82585813862</v>
      </c>
      <c r="P130" s="24">
        <f t="shared" si="17"/>
        <v>927335.73878720787</v>
      </c>
      <c r="Q130" s="24">
        <f t="shared" si="18"/>
        <v>34111652.746738829</v>
      </c>
      <c r="R130" s="36">
        <f t="shared" si="19"/>
        <v>34111652.746738829</v>
      </c>
      <c r="S130" s="24">
        <v>26844920.985309076</v>
      </c>
      <c r="T130" s="24">
        <f t="shared" si="20"/>
        <v>402673814.77963614</v>
      </c>
      <c r="U130" s="23">
        <f t="shared" si="21"/>
        <v>8.4712865586768993E-2</v>
      </c>
      <c r="V130" s="23">
        <f t="shared" si="22"/>
        <v>2.823762186225633E-2</v>
      </c>
      <c r="W130" s="23">
        <f t="shared" si="23"/>
        <v>0.25413859676030698</v>
      </c>
    </row>
    <row r="131" spans="1:23" ht="15" customHeight="1" x14ac:dyDescent="0.25">
      <c r="A131" s="19" t="s">
        <v>283</v>
      </c>
      <c r="B131" s="19" t="s">
        <v>284</v>
      </c>
      <c r="C131" s="19" t="s">
        <v>29</v>
      </c>
      <c r="D131" s="19" t="s">
        <v>19</v>
      </c>
      <c r="E131" s="19" t="s">
        <v>232</v>
      </c>
      <c r="F131" s="23" t="s">
        <v>232</v>
      </c>
      <c r="G131" s="24">
        <v>36845</v>
      </c>
      <c r="H131" s="24">
        <v>43857</v>
      </c>
      <c r="I131" s="19">
        <v>100</v>
      </c>
      <c r="J131" s="24">
        <f t="shared" ref="J131:J194" si="24">(1-(I131/100))*H131</f>
        <v>0</v>
      </c>
      <c r="K131" s="36">
        <f t="shared" si="14"/>
        <v>0</v>
      </c>
      <c r="L131" s="23" t="s">
        <v>232</v>
      </c>
      <c r="M131" s="24" t="e">
        <f t="shared" ref="M131:M194" si="25">J131*L131</f>
        <v>#VALUE!</v>
      </c>
      <c r="N131" s="19" t="e">
        <f t="shared" si="15"/>
        <v>#VALUE!</v>
      </c>
      <c r="O131" s="24" t="e">
        <f t="shared" si="16"/>
        <v>#VALUE!</v>
      </c>
      <c r="P131" s="24" t="e">
        <f t="shared" si="17"/>
        <v>#VALUE!</v>
      </c>
      <c r="Q131" s="24" t="e">
        <f t="shared" si="18"/>
        <v>#VALUE!</v>
      </c>
      <c r="R131" s="36">
        <f t="shared" si="19"/>
        <v>0</v>
      </c>
      <c r="S131" s="24">
        <v>0</v>
      </c>
      <c r="T131" s="24">
        <f t="shared" si="20"/>
        <v>0</v>
      </c>
      <c r="U131" s="23" t="e">
        <f t="shared" si="21"/>
        <v>#VALUE!</v>
      </c>
      <c r="V131" s="23" t="e">
        <f t="shared" si="22"/>
        <v>#VALUE!</v>
      </c>
      <c r="W131" s="23" t="e">
        <f t="shared" si="23"/>
        <v>#VALUE!</v>
      </c>
    </row>
    <row r="132" spans="1:23" ht="15" customHeight="1" x14ac:dyDescent="0.25">
      <c r="A132" s="19" t="s">
        <v>285</v>
      </c>
      <c r="B132" s="19" t="s">
        <v>286</v>
      </c>
      <c r="C132" s="19" t="s">
        <v>40</v>
      </c>
      <c r="D132" s="19" t="s">
        <v>26</v>
      </c>
      <c r="E132" s="19" t="s">
        <v>472</v>
      </c>
      <c r="F132" s="23">
        <v>530.71832220241151</v>
      </c>
      <c r="G132" s="24">
        <v>2712738</v>
      </c>
      <c r="H132" s="24">
        <v>3387631</v>
      </c>
      <c r="I132" s="19">
        <v>82.3</v>
      </c>
      <c r="J132" s="24">
        <f t="shared" si="24"/>
        <v>599610.68700000015</v>
      </c>
      <c r="K132" s="36">
        <f t="shared" ref="K132:K195" si="26">IFERROR(J132,0)</f>
        <v>599610.68700000015</v>
      </c>
      <c r="L132" s="23">
        <v>171.46974063400577</v>
      </c>
      <c r="M132" s="24">
        <f t="shared" si="25"/>
        <v>102815088.98126805</v>
      </c>
      <c r="N132" s="19">
        <f t="shared" ref="N132:N195" si="27">O132/M132</f>
        <v>1.8630000000000001E-2</v>
      </c>
      <c r="O132" s="24">
        <f t="shared" ref="O132:O195" si="28">M132*0.01863</f>
        <v>1915445.1077210237</v>
      </c>
      <c r="P132" s="24">
        <f t="shared" ref="P132:P195" si="29">(O132/5)*7.5</f>
        <v>2873167.6615815354</v>
      </c>
      <c r="Q132" s="24">
        <f t="shared" ref="Q132:Q195" si="30">M132+P132</f>
        <v>105688256.64284958</v>
      </c>
      <c r="R132" s="36">
        <f t="shared" ref="R132:R195" si="31">IFERROR(Q132,0)</f>
        <v>105688256.64284958</v>
      </c>
      <c r="S132" s="24">
        <v>2578929370.5691776</v>
      </c>
      <c r="T132" s="24">
        <f t="shared" ref="T132:T195" si="32">S132*15</f>
        <v>38683940558.537666</v>
      </c>
      <c r="U132" s="23">
        <f t="shared" ref="U132:U195" si="33">Q132/T132</f>
        <v>2.7320964492466592E-3</v>
      </c>
      <c r="V132" s="23">
        <f t="shared" ref="V132:V195" si="34">(Q132/2)/(T132*1.5)</f>
        <v>9.1069881641555293E-4</v>
      </c>
      <c r="W132" s="23">
        <f t="shared" ref="W132:W195" si="35">(Q132*1.5)/(T132/2)</f>
        <v>8.1962893477399781E-3</v>
      </c>
    </row>
    <row r="133" spans="1:23" ht="15" customHeight="1" x14ac:dyDescent="0.25">
      <c r="A133" s="19" t="s">
        <v>287</v>
      </c>
      <c r="B133" s="19" t="s">
        <v>288</v>
      </c>
      <c r="C133" s="19" t="s">
        <v>18</v>
      </c>
      <c r="D133" s="19" t="s">
        <v>19</v>
      </c>
      <c r="E133" s="19" t="s">
        <v>232</v>
      </c>
      <c r="F133" s="23">
        <v>270.56505523889945</v>
      </c>
      <c r="G133" s="24">
        <v>620078</v>
      </c>
      <c r="H133" s="24">
        <v>607757</v>
      </c>
      <c r="I133" s="19">
        <v>98</v>
      </c>
      <c r="J133" s="24">
        <f t="shared" si="24"/>
        <v>12155.14000000001</v>
      </c>
      <c r="K133" s="36">
        <f t="shared" si="26"/>
        <v>12155.14000000001</v>
      </c>
      <c r="L133" s="23">
        <v>270.56505523889945</v>
      </c>
      <c r="M133" s="24">
        <f t="shared" si="25"/>
        <v>3288756.1255365591</v>
      </c>
      <c r="N133" s="19">
        <f t="shared" si="27"/>
        <v>1.8630000000000001E-2</v>
      </c>
      <c r="O133" s="24">
        <f t="shared" si="28"/>
        <v>61269.526618746102</v>
      </c>
      <c r="P133" s="24">
        <f t="shared" si="29"/>
        <v>91904.289928119149</v>
      </c>
      <c r="Q133" s="24">
        <f t="shared" si="30"/>
        <v>3380660.4154646783</v>
      </c>
      <c r="R133" s="36">
        <f t="shared" si="31"/>
        <v>3380660.4154646783</v>
      </c>
      <c r="S133" s="24">
        <v>57851763.840370655</v>
      </c>
      <c r="T133" s="24">
        <f t="shared" si="32"/>
        <v>867776457.60555983</v>
      </c>
      <c r="U133" s="23">
        <f t="shared" si="33"/>
        <v>3.89577337093573E-3</v>
      </c>
      <c r="V133" s="23">
        <f t="shared" si="34"/>
        <v>1.2985911236452433E-3</v>
      </c>
      <c r="W133" s="23">
        <f t="shared" si="35"/>
        <v>1.168732011280719E-2</v>
      </c>
    </row>
    <row r="134" spans="1:23" ht="15" customHeight="1" x14ac:dyDescent="0.25">
      <c r="A134" s="19" t="s">
        <v>289</v>
      </c>
      <c r="B134" s="19" t="s">
        <v>290</v>
      </c>
      <c r="C134" s="19" t="s">
        <v>40</v>
      </c>
      <c r="D134" s="19" t="s">
        <v>22</v>
      </c>
      <c r="E134" s="19" t="s">
        <v>466</v>
      </c>
      <c r="F134" s="23">
        <v>412.83830673143649</v>
      </c>
      <c r="G134" s="24">
        <v>31642360</v>
      </c>
      <c r="H134" s="24">
        <v>39190274</v>
      </c>
      <c r="I134" s="19">
        <v>82.7</v>
      </c>
      <c r="J134" s="24">
        <f t="shared" si="24"/>
        <v>6779917.401999997</v>
      </c>
      <c r="K134" s="36">
        <f t="shared" si="26"/>
        <v>6779917.401999997</v>
      </c>
      <c r="L134" s="23">
        <v>282.00514138817482</v>
      </c>
      <c r="M134" s="24">
        <f t="shared" si="25"/>
        <v>1911971565.551156</v>
      </c>
      <c r="N134" s="19">
        <f t="shared" si="27"/>
        <v>1.8630000000000001E-2</v>
      </c>
      <c r="O134" s="24">
        <f t="shared" si="28"/>
        <v>35620030.266218036</v>
      </c>
      <c r="P134" s="24">
        <f t="shared" si="29"/>
        <v>53430045.399327055</v>
      </c>
      <c r="Q134" s="24">
        <f t="shared" si="30"/>
        <v>1965401610.9504831</v>
      </c>
      <c r="R134" s="36">
        <f t="shared" si="31"/>
        <v>1965401610.9504831</v>
      </c>
      <c r="S134" s="24">
        <v>2752538514.3211255</v>
      </c>
      <c r="T134" s="24">
        <f t="shared" si="32"/>
        <v>41288077714.816879</v>
      </c>
      <c r="U134" s="23">
        <f t="shared" si="33"/>
        <v>4.7602158291936356E-2</v>
      </c>
      <c r="V134" s="23">
        <f t="shared" si="34"/>
        <v>1.5867386097312121E-2</v>
      </c>
      <c r="W134" s="23">
        <f t="shared" si="35"/>
        <v>0.14280647487580908</v>
      </c>
    </row>
    <row r="135" spans="1:23" ht="15" customHeight="1" x14ac:dyDescent="0.25">
      <c r="A135" s="19" t="s">
        <v>291</v>
      </c>
      <c r="B135" s="19" t="s">
        <v>292</v>
      </c>
      <c r="C135" s="19" t="s">
        <v>14</v>
      </c>
      <c r="D135" s="19" t="s">
        <v>32</v>
      </c>
      <c r="E135" s="19" t="s">
        <v>467</v>
      </c>
      <c r="F135" s="23">
        <v>68.964152792292879</v>
      </c>
      <c r="G135" s="24">
        <v>23967265</v>
      </c>
      <c r="H135" s="24">
        <v>38875906</v>
      </c>
      <c r="I135" s="19">
        <v>47.8</v>
      </c>
      <c r="J135" s="24">
        <f t="shared" si="24"/>
        <v>20293222.932</v>
      </c>
      <c r="K135" s="36">
        <f t="shared" si="26"/>
        <v>20293222.932</v>
      </c>
      <c r="L135" s="23">
        <v>13.937516832749798</v>
      </c>
      <c r="M135" s="24">
        <f t="shared" si="25"/>
        <v>282837136.20549423</v>
      </c>
      <c r="N135" s="19">
        <f t="shared" si="27"/>
        <v>1.8630000000000001E-2</v>
      </c>
      <c r="O135" s="24">
        <f t="shared" si="28"/>
        <v>5269255.8475083578</v>
      </c>
      <c r="P135" s="24">
        <f t="shared" si="29"/>
        <v>7903883.7712625368</v>
      </c>
      <c r="Q135" s="24">
        <f t="shared" si="30"/>
        <v>290741019.97675675</v>
      </c>
      <c r="R135" s="36">
        <f t="shared" si="31"/>
        <v>290741019.97675675</v>
      </c>
      <c r="S135" s="24">
        <v>1468383419.1173403</v>
      </c>
      <c r="T135" s="24">
        <f t="shared" si="32"/>
        <v>22025751286.760105</v>
      </c>
      <c r="U135" s="23">
        <f t="shared" si="33"/>
        <v>1.320005007736213E-2</v>
      </c>
      <c r="V135" s="23">
        <f t="shared" si="34"/>
        <v>4.4000166924540425E-3</v>
      </c>
      <c r="W135" s="23">
        <f t="shared" si="35"/>
        <v>3.9600150232086385E-2</v>
      </c>
    </row>
    <row r="136" spans="1:23" ht="15" customHeight="1" x14ac:dyDescent="0.25">
      <c r="A136" s="19" t="s">
        <v>293</v>
      </c>
      <c r="B136" s="19" t="s">
        <v>294</v>
      </c>
      <c r="C136" s="19" t="s">
        <v>14</v>
      </c>
      <c r="D136" s="19" t="s">
        <v>26</v>
      </c>
      <c r="E136" s="19" t="s">
        <v>471</v>
      </c>
      <c r="F136" s="23">
        <v>286.39139284675775</v>
      </c>
      <c r="G136" s="24">
        <v>51931231</v>
      </c>
      <c r="H136" s="24">
        <v>58697747</v>
      </c>
      <c r="I136" s="19">
        <v>82.6</v>
      </c>
      <c r="J136" s="24">
        <f t="shared" si="24"/>
        <v>10213407.978000002</v>
      </c>
      <c r="K136" s="36">
        <f t="shared" si="26"/>
        <v>10213407.978000002</v>
      </c>
      <c r="L136" s="23">
        <v>246.71440224780204</v>
      </c>
      <c r="M136" s="24">
        <f t="shared" si="25"/>
        <v>2519794844.2052031</v>
      </c>
      <c r="N136" s="19">
        <f t="shared" si="27"/>
        <v>1.8630000000000001E-2</v>
      </c>
      <c r="O136" s="24">
        <f t="shared" si="28"/>
        <v>46943777.947542936</v>
      </c>
      <c r="P136" s="24">
        <f t="shared" si="29"/>
        <v>70415666.921314403</v>
      </c>
      <c r="Q136" s="24">
        <f t="shared" si="30"/>
        <v>2590210511.1265173</v>
      </c>
      <c r="R136" s="36">
        <f t="shared" si="31"/>
        <v>2590210511.1265173</v>
      </c>
      <c r="S136" s="23" t="s">
        <v>232</v>
      </c>
      <c r="T136" s="24" t="e">
        <f t="shared" si="32"/>
        <v>#VALUE!</v>
      </c>
      <c r="U136" s="23" t="e">
        <f t="shared" si="33"/>
        <v>#VALUE!</v>
      </c>
      <c r="V136" s="23" t="e">
        <f t="shared" si="34"/>
        <v>#VALUE!</v>
      </c>
      <c r="W136" s="23" t="e">
        <f t="shared" si="35"/>
        <v>#VALUE!</v>
      </c>
    </row>
    <row r="137" spans="1:23" ht="15" customHeight="1" x14ac:dyDescent="0.25">
      <c r="A137" s="19" t="s">
        <v>295</v>
      </c>
      <c r="B137" s="19" t="s">
        <v>296</v>
      </c>
      <c r="C137" s="19" t="s">
        <v>18</v>
      </c>
      <c r="D137" s="19" t="s">
        <v>32</v>
      </c>
      <c r="E137" s="19" t="s">
        <v>467</v>
      </c>
      <c r="F137" s="23">
        <v>68.964152792292879</v>
      </c>
      <c r="G137" s="24">
        <v>2178967</v>
      </c>
      <c r="H137" s="24">
        <v>3042197</v>
      </c>
      <c r="I137" s="19">
        <v>89.7</v>
      </c>
      <c r="J137" s="24">
        <f t="shared" si="24"/>
        <v>313346.29099999997</v>
      </c>
      <c r="K137" s="36">
        <f t="shared" si="26"/>
        <v>313346.29099999997</v>
      </c>
      <c r="L137" s="23">
        <v>289.01734104046244</v>
      </c>
      <c r="M137" s="24">
        <f t="shared" si="25"/>
        <v>90562511.849710971</v>
      </c>
      <c r="N137" s="19">
        <f t="shared" si="27"/>
        <v>1.8630000000000001E-2</v>
      </c>
      <c r="O137" s="24">
        <f t="shared" si="28"/>
        <v>1687179.5957601154</v>
      </c>
      <c r="P137" s="24">
        <f t="shared" si="29"/>
        <v>2530769.3936401731</v>
      </c>
      <c r="Q137" s="24">
        <f t="shared" si="30"/>
        <v>93093281.243351147</v>
      </c>
      <c r="R137" s="36">
        <f t="shared" si="31"/>
        <v>93093281.243351147</v>
      </c>
      <c r="S137" s="24">
        <v>322584332.15443879</v>
      </c>
      <c r="T137" s="24">
        <f t="shared" si="32"/>
        <v>4838764982.3165817</v>
      </c>
      <c r="U137" s="23">
        <f t="shared" si="33"/>
        <v>1.9239058227370716E-2</v>
      </c>
      <c r="V137" s="23">
        <f t="shared" si="34"/>
        <v>6.4130194091235717E-3</v>
      </c>
      <c r="W137" s="23">
        <f t="shared" si="35"/>
        <v>5.7717174682112141E-2</v>
      </c>
    </row>
    <row r="138" spans="1:23" ht="15" customHeight="1" x14ac:dyDescent="0.25">
      <c r="A138" s="19" t="s">
        <v>297</v>
      </c>
      <c r="B138" s="19" t="s">
        <v>298</v>
      </c>
      <c r="C138" s="19" t="s">
        <v>14</v>
      </c>
      <c r="D138" s="19" t="s">
        <v>15</v>
      </c>
      <c r="E138" s="19" t="s">
        <v>465</v>
      </c>
      <c r="F138" s="23">
        <v>25.998990717254753</v>
      </c>
      <c r="G138" s="24">
        <v>26846016</v>
      </c>
      <c r="H138" s="24">
        <v>32853228.000000004</v>
      </c>
      <c r="I138" s="19">
        <v>86.4</v>
      </c>
      <c r="J138" s="24">
        <f t="shared" si="24"/>
        <v>4468039.0079999976</v>
      </c>
      <c r="K138" s="36">
        <f t="shared" si="26"/>
        <v>4468039.0079999976</v>
      </c>
      <c r="L138" s="23">
        <v>165.93959731543623</v>
      </c>
      <c r="M138" s="24">
        <f t="shared" si="25"/>
        <v>741424593.77718079</v>
      </c>
      <c r="N138" s="19">
        <f t="shared" si="27"/>
        <v>1.8630000000000001E-2</v>
      </c>
      <c r="O138" s="24">
        <f t="shared" si="28"/>
        <v>13812740.182068879</v>
      </c>
      <c r="P138" s="24">
        <f t="shared" si="29"/>
        <v>20719110.273103319</v>
      </c>
      <c r="Q138" s="24">
        <f t="shared" si="30"/>
        <v>762143704.05028415</v>
      </c>
      <c r="R138" s="36">
        <f t="shared" si="31"/>
        <v>762143704.05028415</v>
      </c>
      <c r="S138" s="24">
        <v>1089428122.9560325</v>
      </c>
      <c r="T138" s="24">
        <f t="shared" si="32"/>
        <v>16341421844.340488</v>
      </c>
      <c r="U138" s="23">
        <f t="shared" si="33"/>
        <v>4.6638763218406036E-2</v>
      </c>
      <c r="V138" s="23">
        <f t="shared" si="34"/>
        <v>1.5546254406135345E-2</v>
      </c>
      <c r="W138" s="23">
        <f t="shared" si="35"/>
        <v>0.1399162896552181</v>
      </c>
    </row>
    <row r="139" spans="1:23" ht="15" customHeight="1" x14ac:dyDescent="0.25">
      <c r="A139" s="19" t="s">
        <v>299</v>
      </c>
      <c r="B139" s="19" t="s">
        <v>300</v>
      </c>
      <c r="C139" s="19" t="s">
        <v>45</v>
      </c>
      <c r="D139" s="19" t="s">
        <v>19</v>
      </c>
      <c r="E139" s="19" t="s">
        <v>232</v>
      </c>
      <c r="F139" s="23" t="s">
        <v>232</v>
      </c>
      <c r="G139" s="24">
        <v>16615394</v>
      </c>
      <c r="H139" s="24">
        <v>17268589</v>
      </c>
      <c r="I139" s="19">
        <v>100</v>
      </c>
      <c r="J139" s="24">
        <f t="shared" si="24"/>
        <v>0</v>
      </c>
      <c r="K139" s="36">
        <f t="shared" si="26"/>
        <v>0</v>
      </c>
      <c r="L139" s="23" t="s">
        <v>232</v>
      </c>
      <c r="M139" s="24" t="e">
        <f t="shared" si="25"/>
        <v>#VALUE!</v>
      </c>
      <c r="N139" s="19" t="e">
        <f t="shared" si="27"/>
        <v>#VALUE!</v>
      </c>
      <c r="O139" s="24" t="e">
        <f t="shared" si="28"/>
        <v>#VALUE!</v>
      </c>
      <c r="P139" s="24" t="e">
        <f t="shared" si="29"/>
        <v>#VALUE!</v>
      </c>
      <c r="Q139" s="24" t="e">
        <f t="shared" si="30"/>
        <v>#VALUE!</v>
      </c>
      <c r="R139" s="36">
        <f t="shared" si="31"/>
        <v>0</v>
      </c>
      <c r="S139" s="24">
        <v>9858835201.9990978</v>
      </c>
      <c r="T139" s="24">
        <f t="shared" si="32"/>
        <v>147882528029.98648</v>
      </c>
      <c r="U139" s="23" t="e">
        <f t="shared" si="33"/>
        <v>#VALUE!</v>
      </c>
      <c r="V139" s="23" t="e">
        <f t="shared" si="34"/>
        <v>#VALUE!</v>
      </c>
      <c r="W139" s="23" t="e">
        <f t="shared" si="35"/>
        <v>#VALUE!</v>
      </c>
    </row>
    <row r="140" spans="1:23" ht="15" customHeight="1" x14ac:dyDescent="0.25">
      <c r="A140" s="19" t="s">
        <v>301</v>
      </c>
      <c r="B140" s="19" t="s">
        <v>302</v>
      </c>
      <c r="C140" s="19" t="s">
        <v>29</v>
      </c>
      <c r="D140" s="19" t="s">
        <v>26</v>
      </c>
      <c r="E140" s="19" t="s">
        <v>232</v>
      </c>
      <c r="F140" s="23">
        <v>162.92664529511597</v>
      </c>
      <c r="G140" s="24">
        <v>249992</v>
      </c>
      <c r="H140" s="24">
        <v>311623</v>
      </c>
      <c r="I140" s="19">
        <v>98</v>
      </c>
      <c r="J140" s="24">
        <f t="shared" si="24"/>
        <v>6232.4600000000055</v>
      </c>
      <c r="K140" s="36">
        <f t="shared" si="26"/>
        <v>6232.4600000000055</v>
      </c>
      <c r="L140" s="23">
        <v>162.92664529511597</v>
      </c>
      <c r="M140" s="24">
        <f t="shared" si="25"/>
        <v>1015433.7997359994</v>
      </c>
      <c r="N140" s="19">
        <f t="shared" si="27"/>
        <v>1.8630000000000001E-2</v>
      </c>
      <c r="O140" s="24">
        <f t="shared" si="28"/>
        <v>18917.531689081668</v>
      </c>
      <c r="P140" s="24">
        <f t="shared" si="29"/>
        <v>28376.297533622503</v>
      </c>
      <c r="Q140" s="24">
        <f t="shared" si="30"/>
        <v>1043810.0972696219</v>
      </c>
      <c r="R140" s="36">
        <f t="shared" si="31"/>
        <v>1043810.0972696219</v>
      </c>
      <c r="S140" s="23" t="s">
        <v>232</v>
      </c>
      <c r="T140" s="24" t="e">
        <f t="shared" si="32"/>
        <v>#VALUE!</v>
      </c>
      <c r="U140" s="23" t="e">
        <f t="shared" si="33"/>
        <v>#VALUE!</v>
      </c>
      <c r="V140" s="23" t="e">
        <f t="shared" si="34"/>
        <v>#VALUE!</v>
      </c>
      <c r="W140" s="23" t="e">
        <f t="shared" si="35"/>
        <v>#VALUE!</v>
      </c>
    </row>
    <row r="141" spans="1:23" ht="15" customHeight="1" x14ac:dyDescent="0.25">
      <c r="A141" s="19" t="s">
        <v>303</v>
      </c>
      <c r="B141" s="19" t="s">
        <v>304</v>
      </c>
      <c r="C141" s="19" t="s">
        <v>45</v>
      </c>
      <c r="D141" s="19" t="s">
        <v>26</v>
      </c>
      <c r="E141" s="19" t="s">
        <v>232</v>
      </c>
      <c r="F141" s="23">
        <v>162.92664529511597</v>
      </c>
      <c r="G141" s="24">
        <v>4367800</v>
      </c>
      <c r="H141" s="24">
        <v>5208035</v>
      </c>
      <c r="I141" s="19">
        <v>100</v>
      </c>
      <c r="J141" s="24">
        <f t="shared" si="24"/>
        <v>0</v>
      </c>
      <c r="K141" s="36">
        <f t="shared" si="26"/>
        <v>0</v>
      </c>
      <c r="L141" s="23" t="s">
        <v>232</v>
      </c>
      <c r="M141" s="24" t="e">
        <f t="shared" si="25"/>
        <v>#VALUE!</v>
      </c>
      <c r="N141" s="19" t="e">
        <f t="shared" si="27"/>
        <v>#VALUE!</v>
      </c>
      <c r="O141" s="24" t="e">
        <f t="shared" si="28"/>
        <v>#VALUE!</v>
      </c>
      <c r="P141" s="24" t="e">
        <f t="shared" si="29"/>
        <v>#VALUE!</v>
      </c>
      <c r="Q141" s="24" t="e">
        <f t="shared" si="30"/>
        <v>#VALUE!</v>
      </c>
      <c r="R141" s="36">
        <f t="shared" si="31"/>
        <v>0</v>
      </c>
      <c r="S141" s="24">
        <v>3454391570.3166966</v>
      </c>
      <c r="T141" s="24">
        <f t="shared" si="32"/>
        <v>51815873554.75045</v>
      </c>
      <c r="U141" s="23" t="e">
        <f t="shared" si="33"/>
        <v>#VALUE!</v>
      </c>
      <c r="V141" s="23" t="e">
        <f t="shared" si="34"/>
        <v>#VALUE!</v>
      </c>
      <c r="W141" s="23" t="e">
        <f t="shared" si="35"/>
        <v>#VALUE!</v>
      </c>
    </row>
    <row r="142" spans="1:23" ht="15" customHeight="1" x14ac:dyDescent="0.25">
      <c r="A142" s="19" t="s">
        <v>305</v>
      </c>
      <c r="B142" s="19" t="s">
        <v>306</v>
      </c>
      <c r="C142" s="19" t="s">
        <v>40</v>
      </c>
      <c r="D142" s="19" t="s">
        <v>35</v>
      </c>
      <c r="E142" s="19" t="s">
        <v>468</v>
      </c>
      <c r="F142" s="23">
        <v>457.1136934673367</v>
      </c>
      <c r="G142" s="24">
        <v>5822209</v>
      </c>
      <c r="H142" s="24">
        <v>7390914</v>
      </c>
      <c r="I142" s="19">
        <v>84.9</v>
      </c>
      <c r="J142" s="24">
        <f t="shared" si="24"/>
        <v>1116028.0139999993</v>
      </c>
      <c r="K142" s="36">
        <f t="shared" si="26"/>
        <v>1116028.0139999993</v>
      </c>
      <c r="L142" s="23">
        <v>284.50920245398771</v>
      </c>
      <c r="M142" s="24">
        <f t="shared" si="25"/>
        <v>317520240.17944765</v>
      </c>
      <c r="N142" s="19">
        <f t="shared" si="27"/>
        <v>1.8630000000000001E-2</v>
      </c>
      <c r="O142" s="24">
        <f t="shared" si="28"/>
        <v>5915402.0745431101</v>
      </c>
      <c r="P142" s="24">
        <f t="shared" si="29"/>
        <v>8873103.1118146647</v>
      </c>
      <c r="Q142" s="24">
        <f t="shared" si="30"/>
        <v>326393343.29126233</v>
      </c>
      <c r="R142" s="36">
        <f t="shared" si="31"/>
        <v>326393343.29126233</v>
      </c>
      <c r="S142" s="24">
        <v>499234155.04849941</v>
      </c>
      <c r="T142" s="24">
        <f t="shared" si="32"/>
        <v>7488512325.7274914</v>
      </c>
      <c r="U142" s="23">
        <f t="shared" si="33"/>
        <v>4.3585872479625518E-2</v>
      </c>
      <c r="V142" s="23">
        <f t="shared" si="34"/>
        <v>1.4528624159875173E-2</v>
      </c>
      <c r="W142" s="23">
        <f t="shared" si="35"/>
        <v>0.13075761743887654</v>
      </c>
    </row>
    <row r="143" spans="1:23" ht="15" customHeight="1" x14ac:dyDescent="0.25">
      <c r="A143" s="19" t="s">
        <v>307</v>
      </c>
      <c r="B143" s="19" t="s">
        <v>308</v>
      </c>
      <c r="C143" s="19" t="s">
        <v>14</v>
      </c>
      <c r="D143" s="19" t="s">
        <v>32</v>
      </c>
      <c r="E143" s="19" t="s">
        <v>467</v>
      </c>
      <c r="F143" s="23">
        <v>68.964152792292879</v>
      </c>
      <c r="G143" s="24">
        <v>15893746</v>
      </c>
      <c r="H143" s="24">
        <v>34512751</v>
      </c>
      <c r="I143" s="19">
        <v>50.5</v>
      </c>
      <c r="J143" s="24">
        <f t="shared" si="24"/>
        <v>17083811.745000001</v>
      </c>
      <c r="K143" s="36">
        <f t="shared" si="26"/>
        <v>17083811.745000001</v>
      </c>
      <c r="L143" s="23">
        <v>59.897671136203243</v>
      </c>
      <c r="M143" s="24">
        <f t="shared" si="25"/>
        <v>1023280537.6548165</v>
      </c>
      <c r="N143" s="19">
        <f t="shared" si="27"/>
        <v>1.8630000000000001E-2</v>
      </c>
      <c r="O143" s="24">
        <f t="shared" si="28"/>
        <v>19063716.416509233</v>
      </c>
      <c r="P143" s="24">
        <f t="shared" si="29"/>
        <v>28595574.62476385</v>
      </c>
      <c r="Q143" s="24">
        <f t="shared" si="30"/>
        <v>1051876112.2795804</v>
      </c>
      <c r="R143" s="36">
        <f t="shared" si="31"/>
        <v>1051876112.2795804</v>
      </c>
      <c r="S143" s="24">
        <v>616279880.15976942</v>
      </c>
      <c r="T143" s="24">
        <f t="shared" si="32"/>
        <v>9244198202.3965416</v>
      </c>
      <c r="U143" s="23">
        <f t="shared" si="33"/>
        <v>0.11378770654299508</v>
      </c>
      <c r="V143" s="23">
        <f t="shared" si="34"/>
        <v>3.7929235514331694E-2</v>
      </c>
      <c r="W143" s="23">
        <f t="shared" si="35"/>
        <v>0.3413631196289853</v>
      </c>
    </row>
    <row r="144" spans="1:23" ht="15" customHeight="1" x14ac:dyDescent="0.25">
      <c r="A144" s="19" t="s">
        <v>309</v>
      </c>
      <c r="B144" s="19" t="s">
        <v>310</v>
      </c>
      <c r="C144" s="19" t="s">
        <v>40</v>
      </c>
      <c r="D144" s="19" t="s">
        <v>32</v>
      </c>
      <c r="E144" s="19" t="s">
        <v>467</v>
      </c>
      <c r="F144" s="23">
        <v>68.964152792292879</v>
      </c>
      <c r="G144" s="24">
        <v>159707780</v>
      </c>
      <c r="H144" s="24">
        <v>273120384</v>
      </c>
      <c r="I144" s="19">
        <v>62.6</v>
      </c>
      <c r="J144" s="24">
        <f t="shared" si="24"/>
        <v>102147023.616</v>
      </c>
      <c r="K144" s="36">
        <f t="shared" si="26"/>
        <v>102147023.616</v>
      </c>
      <c r="L144" s="23">
        <v>41.153841544527403</v>
      </c>
      <c r="M144" s="24">
        <f t="shared" si="25"/>
        <v>4203742424.1379623</v>
      </c>
      <c r="N144" s="19">
        <f t="shared" si="27"/>
        <v>1.8630000000000001E-2</v>
      </c>
      <c r="O144" s="24">
        <f t="shared" si="28"/>
        <v>78315721.361690238</v>
      </c>
      <c r="P144" s="24">
        <f t="shared" si="29"/>
        <v>117473582.04253536</v>
      </c>
      <c r="Q144" s="24">
        <f t="shared" si="30"/>
        <v>4321216006.1804981</v>
      </c>
      <c r="R144" s="36">
        <f t="shared" si="31"/>
        <v>4321216006.1804981</v>
      </c>
      <c r="S144" s="24">
        <v>105572259626.5011</v>
      </c>
      <c r="T144" s="24">
        <f t="shared" si="32"/>
        <v>1583583894397.5166</v>
      </c>
      <c r="U144" s="23">
        <f t="shared" si="33"/>
        <v>2.7287572331774245E-3</v>
      </c>
      <c r="V144" s="23">
        <f t="shared" si="34"/>
        <v>9.0958574439247483E-4</v>
      </c>
      <c r="W144" s="23">
        <f t="shared" si="35"/>
        <v>8.1862716995322726E-3</v>
      </c>
    </row>
    <row r="145" spans="1:23" ht="15" customHeight="1" x14ac:dyDescent="0.25">
      <c r="A145" s="19" t="s">
        <v>311</v>
      </c>
      <c r="B145" s="19" t="s">
        <v>312</v>
      </c>
      <c r="C145" s="19" t="s">
        <v>29</v>
      </c>
      <c r="D145" s="19" t="s">
        <v>26</v>
      </c>
      <c r="E145" s="19" t="s">
        <v>232</v>
      </c>
      <c r="F145" s="23">
        <v>162.92664529511597</v>
      </c>
      <c r="G145" s="24">
        <v>53860</v>
      </c>
      <c r="H145" s="24">
        <v>56623</v>
      </c>
      <c r="I145" s="19">
        <v>97.2</v>
      </c>
      <c r="J145" s="24">
        <f t="shared" si="24"/>
        <v>1585.4440000000013</v>
      </c>
      <c r="K145" s="36">
        <f t="shared" si="26"/>
        <v>1585.4440000000013</v>
      </c>
      <c r="L145" s="23">
        <v>162.92664529511597</v>
      </c>
      <c r="M145" s="24">
        <f t="shared" si="25"/>
        <v>258311.07222327008</v>
      </c>
      <c r="N145" s="19">
        <f t="shared" si="27"/>
        <v>1.8630000000000001E-2</v>
      </c>
      <c r="O145" s="24">
        <f t="shared" si="28"/>
        <v>4812.3352755195219</v>
      </c>
      <c r="P145" s="24">
        <f t="shared" si="29"/>
        <v>7218.5029132792824</v>
      </c>
      <c r="Q145" s="24">
        <f t="shared" si="30"/>
        <v>265529.57513654936</v>
      </c>
      <c r="R145" s="36">
        <f t="shared" si="31"/>
        <v>265529.57513654936</v>
      </c>
      <c r="S145" s="23" t="s">
        <v>232</v>
      </c>
      <c r="T145" s="24" t="e">
        <f t="shared" si="32"/>
        <v>#VALUE!</v>
      </c>
      <c r="U145" s="23" t="e">
        <f t="shared" si="33"/>
        <v>#VALUE!</v>
      </c>
      <c r="V145" s="23" t="e">
        <f t="shared" si="34"/>
        <v>#VALUE!</v>
      </c>
      <c r="W145" s="23" t="e">
        <f t="shared" si="35"/>
        <v>#VALUE!</v>
      </c>
    </row>
    <row r="146" spans="1:23" ht="15" customHeight="1" x14ac:dyDescent="0.25">
      <c r="A146" s="19" t="s">
        <v>313</v>
      </c>
      <c r="B146" s="19" t="s">
        <v>314</v>
      </c>
      <c r="C146" s="19" t="s">
        <v>45</v>
      </c>
      <c r="D146" s="19" t="s">
        <v>19</v>
      </c>
      <c r="E146" s="19" t="s">
        <v>232</v>
      </c>
      <c r="F146" s="23" t="s">
        <v>232</v>
      </c>
      <c r="G146" s="24">
        <v>4889252</v>
      </c>
      <c r="H146" s="24">
        <v>5837893</v>
      </c>
      <c r="I146" s="19">
        <v>100</v>
      </c>
      <c r="J146" s="24">
        <f t="shared" si="24"/>
        <v>0</v>
      </c>
      <c r="K146" s="36">
        <f t="shared" si="26"/>
        <v>0</v>
      </c>
      <c r="L146" s="23" t="s">
        <v>232</v>
      </c>
      <c r="M146" s="24" t="e">
        <f t="shared" si="25"/>
        <v>#VALUE!</v>
      </c>
      <c r="N146" s="19" t="e">
        <f t="shared" si="27"/>
        <v>#VALUE!</v>
      </c>
      <c r="O146" s="24" t="e">
        <f t="shared" si="28"/>
        <v>#VALUE!</v>
      </c>
      <c r="P146" s="24" t="e">
        <f t="shared" si="29"/>
        <v>#VALUE!</v>
      </c>
      <c r="Q146" s="24" t="e">
        <f t="shared" si="30"/>
        <v>#VALUE!</v>
      </c>
      <c r="R146" s="36">
        <f t="shared" si="31"/>
        <v>0</v>
      </c>
      <c r="S146" s="24">
        <v>55897649769.889412</v>
      </c>
      <c r="T146" s="24">
        <f t="shared" si="32"/>
        <v>838464746548.34119</v>
      </c>
      <c r="U146" s="23" t="e">
        <f t="shared" si="33"/>
        <v>#VALUE!</v>
      </c>
      <c r="V146" s="23" t="e">
        <f t="shared" si="34"/>
        <v>#VALUE!</v>
      </c>
      <c r="W146" s="23" t="e">
        <f t="shared" si="35"/>
        <v>#VALUE!</v>
      </c>
    </row>
    <row r="147" spans="1:23" ht="15" customHeight="1" x14ac:dyDescent="0.25">
      <c r="A147" s="19" t="s">
        <v>315</v>
      </c>
      <c r="B147" s="19" t="s">
        <v>316</v>
      </c>
      <c r="C147" s="19" t="s">
        <v>29</v>
      </c>
      <c r="D147" s="19" t="s">
        <v>22</v>
      </c>
      <c r="E147" s="19" t="s">
        <v>474</v>
      </c>
      <c r="F147" s="23">
        <v>463.55505996404435</v>
      </c>
      <c r="G147" s="24">
        <v>2802768</v>
      </c>
      <c r="H147" s="24">
        <v>4920265</v>
      </c>
      <c r="I147" s="19">
        <v>91.5</v>
      </c>
      <c r="J147" s="24">
        <f t="shared" si="24"/>
        <v>418222.52499999985</v>
      </c>
      <c r="K147" s="36">
        <f t="shared" si="26"/>
        <v>418222.52499999985</v>
      </c>
      <c r="L147" s="23">
        <v>369.35483870967744</v>
      </c>
      <c r="M147" s="24">
        <f t="shared" si="25"/>
        <v>154472513.26612899</v>
      </c>
      <c r="N147" s="19">
        <f t="shared" si="27"/>
        <v>1.8630000000000001E-2</v>
      </c>
      <c r="O147" s="24">
        <f t="shared" si="28"/>
        <v>2877822.9221479832</v>
      </c>
      <c r="P147" s="24">
        <f t="shared" si="29"/>
        <v>4316734.3832219746</v>
      </c>
      <c r="Q147" s="24">
        <f t="shared" si="30"/>
        <v>158789247.64935097</v>
      </c>
      <c r="R147" s="36">
        <f t="shared" si="31"/>
        <v>158789247.64935097</v>
      </c>
      <c r="S147" s="24">
        <v>24681714780.510975</v>
      </c>
      <c r="T147" s="24">
        <f t="shared" si="32"/>
        <v>370225721707.66461</v>
      </c>
      <c r="U147" s="23">
        <f t="shared" si="33"/>
        <v>4.2889847554874419E-4</v>
      </c>
      <c r="V147" s="23">
        <f t="shared" si="34"/>
        <v>1.4296615851624807E-4</v>
      </c>
      <c r="W147" s="23">
        <f t="shared" si="35"/>
        <v>1.2866954266462325E-3</v>
      </c>
    </row>
    <row r="148" spans="1:23" ht="15" customHeight="1" x14ac:dyDescent="0.25">
      <c r="A148" s="19" t="s">
        <v>317</v>
      </c>
      <c r="B148" s="19" t="s">
        <v>318</v>
      </c>
      <c r="C148" s="19" t="s">
        <v>40</v>
      </c>
      <c r="D148" s="19" t="s">
        <v>15</v>
      </c>
      <c r="E148" s="19" t="s">
        <v>465</v>
      </c>
      <c r="F148" s="23">
        <v>25.998990717254753</v>
      </c>
      <c r="G148" s="24">
        <v>173149306</v>
      </c>
      <c r="H148" s="24">
        <v>231743898</v>
      </c>
      <c r="I148" s="19">
        <v>91.2</v>
      </c>
      <c r="J148" s="24">
        <f t="shared" si="24"/>
        <v>20393463.023999993</v>
      </c>
      <c r="K148" s="36">
        <f t="shared" si="26"/>
        <v>20393463.023999993</v>
      </c>
      <c r="L148" s="23">
        <v>28.276926468967037</v>
      </c>
      <c r="M148" s="24">
        <f t="shared" si="25"/>
        <v>576664454.3772459</v>
      </c>
      <c r="N148" s="19">
        <f t="shared" si="27"/>
        <v>1.8630000000000001E-2</v>
      </c>
      <c r="O148" s="24">
        <f t="shared" si="28"/>
        <v>10743258.785048092</v>
      </c>
      <c r="P148" s="24">
        <f t="shared" si="29"/>
        <v>16114888.177572139</v>
      </c>
      <c r="Q148" s="24">
        <f t="shared" si="30"/>
        <v>592779342.55481803</v>
      </c>
      <c r="R148" s="36">
        <f t="shared" si="31"/>
        <v>592779342.55481803</v>
      </c>
      <c r="S148" s="24">
        <v>8516083273.6478567</v>
      </c>
      <c r="T148" s="24">
        <f t="shared" si="32"/>
        <v>127741249104.71785</v>
      </c>
      <c r="U148" s="23">
        <f t="shared" si="33"/>
        <v>4.6404692823136407E-3</v>
      </c>
      <c r="V148" s="23">
        <f t="shared" si="34"/>
        <v>1.5468230941045468E-3</v>
      </c>
      <c r="W148" s="23">
        <f t="shared" si="35"/>
        <v>1.392140784694092E-2</v>
      </c>
    </row>
    <row r="149" spans="1:23" s="31" customFormat="1" ht="15" customHeight="1" x14ac:dyDescent="0.25">
      <c r="A149" s="31" t="s">
        <v>319</v>
      </c>
      <c r="B149" s="31" t="s">
        <v>320</v>
      </c>
      <c r="C149" s="31" t="s">
        <v>18</v>
      </c>
      <c r="D149" s="31" t="s">
        <v>26</v>
      </c>
      <c r="E149" s="19" t="s">
        <v>232</v>
      </c>
      <c r="F149" s="29">
        <v>162.92664529511597</v>
      </c>
      <c r="G149" s="30">
        <v>20470</v>
      </c>
      <c r="H149" s="30">
        <v>24836</v>
      </c>
      <c r="I149" s="31">
        <v>95.2</v>
      </c>
      <c r="J149" s="24">
        <f t="shared" si="24"/>
        <v>1192.1279999999983</v>
      </c>
      <c r="K149" s="36">
        <f t="shared" si="26"/>
        <v>1192.1279999999983</v>
      </c>
      <c r="L149" s="29">
        <v>162.92664529511597</v>
      </c>
      <c r="M149" s="24">
        <f t="shared" si="25"/>
        <v>194229.41580237573</v>
      </c>
      <c r="N149" s="19">
        <f t="shared" si="27"/>
        <v>1.8630000000000001E-2</v>
      </c>
      <c r="O149" s="24">
        <f t="shared" si="28"/>
        <v>3618.4940163982601</v>
      </c>
      <c r="P149" s="24">
        <f t="shared" si="29"/>
        <v>5427.7410245973897</v>
      </c>
      <c r="Q149" s="24">
        <f t="shared" si="30"/>
        <v>199657.15682697314</v>
      </c>
      <c r="R149" s="36">
        <f t="shared" si="31"/>
        <v>199657.15682697314</v>
      </c>
      <c r="S149" s="24">
        <v>0</v>
      </c>
      <c r="T149" s="24">
        <f t="shared" si="32"/>
        <v>0</v>
      </c>
      <c r="U149" s="23" t="e">
        <f t="shared" si="33"/>
        <v>#DIV/0!</v>
      </c>
      <c r="V149" s="23" t="e">
        <f t="shared" si="34"/>
        <v>#DIV/0!</v>
      </c>
      <c r="W149" s="23" t="e">
        <f t="shared" si="35"/>
        <v>#DIV/0!</v>
      </c>
    </row>
    <row r="150" spans="1:23" ht="15" customHeight="1" x14ac:dyDescent="0.25">
      <c r="A150" s="19" t="s">
        <v>321</v>
      </c>
      <c r="B150" s="19" t="s">
        <v>322</v>
      </c>
      <c r="C150" s="19" t="s">
        <v>18</v>
      </c>
      <c r="D150" s="19" t="s">
        <v>35</v>
      </c>
      <c r="E150" s="19" t="s">
        <v>468</v>
      </c>
      <c r="F150" s="23">
        <v>457.1136934673367</v>
      </c>
      <c r="G150" s="24">
        <v>3678128</v>
      </c>
      <c r="H150" s="24">
        <v>4882047</v>
      </c>
      <c r="I150" s="19">
        <v>93.9</v>
      </c>
      <c r="J150" s="24">
        <f t="shared" si="24"/>
        <v>297804.86699999974</v>
      </c>
      <c r="K150" s="36">
        <f t="shared" si="26"/>
        <v>297804.86699999974</v>
      </c>
      <c r="L150" s="23">
        <v>555.55555555555554</v>
      </c>
      <c r="M150" s="24">
        <f t="shared" si="25"/>
        <v>165447148.33333319</v>
      </c>
      <c r="N150" s="19">
        <f t="shared" si="27"/>
        <v>1.8630000000000001E-2</v>
      </c>
      <c r="O150" s="24">
        <f t="shared" si="28"/>
        <v>3082280.3734499975</v>
      </c>
      <c r="P150" s="24">
        <f t="shared" si="29"/>
        <v>4623420.560174996</v>
      </c>
      <c r="Q150" s="24">
        <f t="shared" si="30"/>
        <v>170070568.8935082</v>
      </c>
      <c r="R150" s="36">
        <f t="shared" si="31"/>
        <v>170070568.8935082</v>
      </c>
      <c r="S150" s="24">
        <v>223144062.80733454</v>
      </c>
      <c r="T150" s="24">
        <f t="shared" si="32"/>
        <v>3347160942.1100183</v>
      </c>
      <c r="U150" s="23">
        <f t="shared" si="33"/>
        <v>5.0810394789769904E-2</v>
      </c>
      <c r="V150" s="23">
        <f t="shared" si="34"/>
        <v>1.6936798263256635E-2</v>
      </c>
      <c r="W150" s="23">
        <f t="shared" si="35"/>
        <v>0.15243118436930972</v>
      </c>
    </row>
    <row r="151" spans="1:23" ht="15" customHeight="1" x14ac:dyDescent="0.25">
      <c r="A151" s="19" t="s">
        <v>323</v>
      </c>
      <c r="B151" s="19" t="s">
        <v>324</v>
      </c>
      <c r="C151" s="19" t="s">
        <v>40</v>
      </c>
      <c r="D151" s="19" t="s">
        <v>26</v>
      </c>
      <c r="E151" s="19" t="s">
        <v>473</v>
      </c>
      <c r="F151" s="23">
        <v>162.92664529511597</v>
      </c>
      <c r="G151" s="24">
        <v>6858945</v>
      </c>
      <c r="H151" s="24">
        <v>10044486</v>
      </c>
      <c r="I151" s="19">
        <v>38.799999999999997</v>
      </c>
      <c r="J151" s="24">
        <f t="shared" si="24"/>
        <v>6147225.432000001</v>
      </c>
      <c r="K151" s="36">
        <f t="shared" si="26"/>
        <v>6147225.432000001</v>
      </c>
      <c r="L151" s="23">
        <v>154.48471350475805</v>
      </c>
      <c r="M151" s="24">
        <f t="shared" si="25"/>
        <v>949652359.71168268</v>
      </c>
      <c r="N151" s="19">
        <f t="shared" si="27"/>
        <v>1.8630000000000001E-2</v>
      </c>
      <c r="O151" s="24">
        <f t="shared" si="28"/>
        <v>17692023.46142865</v>
      </c>
      <c r="P151" s="24">
        <f t="shared" si="29"/>
        <v>26538035.192142975</v>
      </c>
      <c r="Q151" s="24">
        <f t="shared" si="30"/>
        <v>976190394.90382564</v>
      </c>
      <c r="R151" s="36">
        <f t="shared" si="31"/>
        <v>976190394.90382564</v>
      </c>
      <c r="S151" s="24">
        <v>4102225109.4098563</v>
      </c>
      <c r="T151" s="24">
        <f t="shared" si="32"/>
        <v>61533376641.147842</v>
      </c>
      <c r="U151" s="23">
        <f t="shared" si="33"/>
        <v>1.5864404786312989E-2</v>
      </c>
      <c r="V151" s="23">
        <f t="shared" si="34"/>
        <v>5.2881349287709958E-3</v>
      </c>
      <c r="W151" s="23">
        <f t="shared" si="35"/>
        <v>4.7593214358938964E-2</v>
      </c>
    </row>
    <row r="152" spans="1:23" ht="15" customHeight="1" x14ac:dyDescent="0.25">
      <c r="A152" s="19" t="s">
        <v>325</v>
      </c>
      <c r="B152" s="19" t="s">
        <v>326</v>
      </c>
      <c r="C152" s="19" t="s">
        <v>40</v>
      </c>
      <c r="D152" s="19" t="s">
        <v>35</v>
      </c>
      <c r="E152" s="19" t="s">
        <v>468</v>
      </c>
      <c r="F152" s="23">
        <v>457.1136934673367</v>
      </c>
      <c r="G152" s="24">
        <v>6459721</v>
      </c>
      <c r="H152" s="24">
        <v>8693133</v>
      </c>
      <c r="I152" s="19">
        <v>91.2</v>
      </c>
      <c r="J152" s="24">
        <f t="shared" si="24"/>
        <v>764995.70399999968</v>
      </c>
      <c r="K152" s="36">
        <f t="shared" si="26"/>
        <v>764995.70399999968</v>
      </c>
      <c r="L152" s="23">
        <v>272.85415212840195</v>
      </c>
      <c r="M152" s="24">
        <f t="shared" si="25"/>
        <v>208732254.19678986</v>
      </c>
      <c r="N152" s="19">
        <f t="shared" si="27"/>
        <v>1.8630000000000001E-2</v>
      </c>
      <c r="O152" s="24">
        <f t="shared" si="28"/>
        <v>3888681.8956861952</v>
      </c>
      <c r="P152" s="24">
        <f t="shared" si="29"/>
        <v>5833022.8435292933</v>
      </c>
      <c r="Q152" s="24">
        <f t="shared" si="30"/>
        <v>214565277.04031914</v>
      </c>
      <c r="R152" s="36">
        <f t="shared" si="31"/>
        <v>214565277.04031914</v>
      </c>
      <c r="S152" s="24">
        <v>1106511912.5295491</v>
      </c>
      <c r="T152" s="24">
        <f t="shared" si="32"/>
        <v>16597678687.943237</v>
      </c>
      <c r="U152" s="23">
        <f t="shared" si="33"/>
        <v>1.2927426845308319E-2</v>
      </c>
      <c r="V152" s="23">
        <f t="shared" si="34"/>
        <v>4.3091422817694396E-3</v>
      </c>
      <c r="W152" s="23">
        <f t="shared" si="35"/>
        <v>3.8782280535924953E-2</v>
      </c>
    </row>
    <row r="153" spans="1:23" ht="15" customHeight="1" x14ac:dyDescent="0.25">
      <c r="A153" s="19" t="s">
        <v>327</v>
      </c>
      <c r="B153" s="19" t="s">
        <v>328</v>
      </c>
      <c r="C153" s="19" t="s">
        <v>18</v>
      </c>
      <c r="D153" s="19" t="s">
        <v>35</v>
      </c>
      <c r="E153" s="19" t="s">
        <v>468</v>
      </c>
      <c r="F153" s="23">
        <v>457.1136934673367</v>
      </c>
      <c r="G153" s="24">
        <v>29262830</v>
      </c>
      <c r="H153" s="24">
        <v>36513996</v>
      </c>
      <c r="I153" s="19">
        <v>85.9</v>
      </c>
      <c r="J153" s="24">
        <f t="shared" si="24"/>
        <v>5148473.435999996</v>
      </c>
      <c r="K153" s="36">
        <f t="shared" si="26"/>
        <v>5148473.435999996</v>
      </c>
      <c r="L153" s="23">
        <v>399.69372128637059</v>
      </c>
      <c r="M153" s="24">
        <f t="shared" si="25"/>
        <v>2057812506.5788651</v>
      </c>
      <c r="N153" s="19">
        <f t="shared" si="27"/>
        <v>1.8630000000000001E-2</v>
      </c>
      <c r="O153" s="24">
        <f t="shared" si="28"/>
        <v>38337046.997564256</v>
      </c>
      <c r="P153" s="24">
        <f t="shared" si="29"/>
        <v>57505570.496346384</v>
      </c>
      <c r="Q153" s="24">
        <f t="shared" si="30"/>
        <v>2115318077.0752115</v>
      </c>
      <c r="R153" s="36">
        <f t="shared" si="31"/>
        <v>2115318077.0752115</v>
      </c>
      <c r="S153" s="24">
        <v>18873226426.094227</v>
      </c>
      <c r="T153" s="24">
        <f t="shared" si="32"/>
        <v>283098396391.41339</v>
      </c>
      <c r="U153" s="23">
        <f t="shared" si="33"/>
        <v>7.4720242291678729E-3</v>
      </c>
      <c r="V153" s="23">
        <f t="shared" si="34"/>
        <v>2.4906747430559575E-3</v>
      </c>
      <c r="W153" s="23">
        <f t="shared" si="35"/>
        <v>2.2416072687503619E-2</v>
      </c>
    </row>
    <row r="154" spans="1:23" ht="15" customHeight="1" x14ac:dyDescent="0.25">
      <c r="A154" s="19" t="s">
        <v>329</v>
      </c>
      <c r="B154" s="19" t="s">
        <v>330</v>
      </c>
      <c r="C154" s="19" t="s">
        <v>40</v>
      </c>
      <c r="D154" s="19" t="s">
        <v>26</v>
      </c>
      <c r="E154" s="19" t="s">
        <v>471</v>
      </c>
      <c r="F154" s="23">
        <v>286.39139284675775</v>
      </c>
      <c r="G154" s="24">
        <v>93444322</v>
      </c>
      <c r="H154" s="24">
        <v>127797234</v>
      </c>
      <c r="I154" s="19">
        <v>91.8</v>
      </c>
      <c r="J154" s="24">
        <f t="shared" si="24"/>
        <v>10479373.188000008</v>
      </c>
      <c r="K154" s="36">
        <f t="shared" si="26"/>
        <v>10479373.188000008</v>
      </c>
      <c r="L154" s="23">
        <v>409.5428762095429</v>
      </c>
      <c r="M154" s="24">
        <f t="shared" si="25"/>
        <v>4291752636.2866902</v>
      </c>
      <c r="N154" s="19">
        <f t="shared" si="27"/>
        <v>1.8630000000000001E-2</v>
      </c>
      <c r="O154" s="24">
        <f t="shared" si="28"/>
        <v>79955351.614021048</v>
      </c>
      <c r="P154" s="24">
        <f t="shared" si="29"/>
        <v>119933027.42103156</v>
      </c>
      <c r="Q154" s="24">
        <f t="shared" si="30"/>
        <v>4411685663.7077217</v>
      </c>
      <c r="R154" s="36">
        <f t="shared" si="31"/>
        <v>4411685663.7077217</v>
      </c>
      <c r="S154" s="24">
        <v>7783755597.3120575</v>
      </c>
      <c r="T154" s="24">
        <f t="shared" si="32"/>
        <v>116756333959.68086</v>
      </c>
      <c r="U154" s="23">
        <f t="shared" si="33"/>
        <v>3.7785407558541505E-2</v>
      </c>
      <c r="V154" s="23">
        <f t="shared" si="34"/>
        <v>1.2595135852847168E-2</v>
      </c>
      <c r="W154" s="23">
        <f t="shared" si="35"/>
        <v>0.11335622267562452</v>
      </c>
    </row>
    <row r="155" spans="1:23" ht="15" customHeight="1" x14ac:dyDescent="0.25">
      <c r="A155" s="19" t="s">
        <v>331</v>
      </c>
      <c r="B155" s="19" t="s">
        <v>332</v>
      </c>
      <c r="C155" s="19" t="s">
        <v>45</v>
      </c>
      <c r="D155" s="19" t="s">
        <v>19</v>
      </c>
      <c r="E155" s="19" t="s">
        <v>232</v>
      </c>
      <c r="F155" s="23" t="s">
        <v>232</v>
      </c>
      <c r="G155" s="24">
        <v>38183683</v>
      </c>
      <c r="H155" s="24">
        <v>37447642</v>
      </c>
      <c r="I155" s="23" t="s">
        <v>232</v>
      </c>
      <c r="J155" s="24" t="e">
        <f t="shared" si="24"/>
        <v>#VALUE!</v>
      </c>
      <c r="K155" s="36">
        <f t="shared" si="26"/>
        <v>0</v>
      </c>
      <c r="L155" s="23" t="s">
        <v>232</v>
      </c>
      <c r="M155" s="24" t="e">
        <f t="shared" si="25"/>
        <v>#VALUE!</v>
      </c>
      <c r="N155" s="19" t="e">
        <f t="shared" si="27"/>
        <v>#VALUE!</v>
      </c>
      <c r="O155" s="24" t="e">
        <f t="shared" si="28"/>
        <v>#VALUE!</v>
      </c>
      <c r="P155" s="24" t="e">
        <f t="shared" si="29"/>
        <v>#VALUE!</v>
      </c>
      <c r="Q155" s="24" t="e">
        <f t="shared" si="30"/>
        <v>#VALUE!</v>
      </c>
      <c r="R155" s="36">
        <f t="shared" si="31"/>
        <v>0</v>
      </c>
      <c r="S155" s="24">
        <v>8848984711.9180393</v>
      </c>
      <c r="T155" s="24">
        <f t="shared" si="32"/>
        <v>132734770678.77058</v>
      </c>
      <c r="U155" s="23" t="e">
        <f t="shared" si="33"/>
        <v>#VALUE!</v>
      </c>
      <c r="V155" s="23" t="e">
        <f t="shared" si="34"/>
        <v>#VALUE!</v>
      </c>
      <c r="W155" s="23" t="e">
        <f t="shared" si="35"/>
        <v>#VALUE!</v>
      </c>
    </row>
    <row r="156" spans="1:23" ht="15" customHeight="1" x14ac:dyDescent="0.25">
      <c r="A156" s="19" t="s">
        <v>333</v>
      </c>
      <c r="B156" s="19" t="s">
        <v>334</v>
      </c>
      <c r="C156" s="19" t="s">
        <v>45</v>
      </c>
      <c r="D156" s="19" t="s">
        <v>19</v>
      </c>
      <c r="E156" s="19" t="s">
        <v>232</v>
      </c>
      <c r="F156" s="23" t="s">
        <v>232</v>
      </c>
      <c r="G156" s="24">
        <v>10573100</v>
      </c>
      <c r="H156" s="24">
        <v>10432816</v>
      </c>
      <c r="I156" s="19">
        <v>99.5</v>
      </c>
      <c r="J156" s="24">
        <f t="shared" si="24"/>
        <v>52164.080000000045</v>
      </c>
      <c r="K156" s="36">
        <f t="shared" si="26"/>
        <v>52164.080000000045</v>
      </c>
      <c r="L156" s="23" t="s">
        <v>232</v>
      </c>
      <c r="M156" s="24" t="e">
        <f t="shared" si="25"/>
        <v>#VALUE!</v>
      </c>
      <c r="N156" s="19" t="e">
        <f t="shared" si="27"/>
        <v>#VALUE!</v>
      </c>
      <c r="O156" s="24" t="e">
        <f t="shared" si="28"/>
        <v>#VALUE!</v>
      </c>
      <c r="P156" s="24" t="e">
        <f t="shared" si="29"/>
        <v>#VALUE!</v>
      </c>
      <c r="Q156" s="24" t="e">
        <f t="shared" si="30"/>
        <v>#VALUE!</v>
      </c>
      <c r="R156" s="36">
        <f t="shared" si="31"/>
        <v>0</v>
      </c>
      <c r="S156" s="24">
        <v>1382577582.3167782</v>
      </c>
      <c r="T156" s="24">
        <f t="shared" si="32"/>
        <v>20738663734.751671</v>
      </c>
      <c r="U156" s="23" t="e">
        <f t="shared" si="33"/>
        <v>#VALUE!</v>
      </c>
      <c r="V156" s="23" t="e">
        <f t="shared" si="34"/>
        <v>#VALUE!</v>
      </c>
      <c r="W156" s="23" t="e">
        <f t="shared" si="35"/>
        <v>#VALUE!</v>
      </c>
    </row>
    <row r="157" spans="1:23" ht="15" customHeight="1" x14ac:dyDescent="0.25">
      <c r="A157" s="19" t="s">
        <v>335</v>
      </c>
      <c r="B157" s="19" t="s">
        <v>336</v>
      </c>
      <c r="C157" s="19" t="s">
        <v>29</v>
      </c>
      <c r="D157" s="19" t="s">
        <v>35</v>
      </c>
      <c r="E157" s="19" t="s">
        <v>468</v>
      </c>
      <c r="F157" s="23">
        <v>457.1136934673367</v>
      </c>
      <c r="G157" s="24">
        <v>3721208</v>
      </c>
      <c r="H157" s="24">
        <v>3703707</v>
      </c>
      <c r="I157" s="23" t="s">
        <v>232</v>
      </c>
      <c r="J157" s="24" t="e">
        <f t="shared" si="24"/>
        <v>#VALUE!</v>
      </c>
      <c r="K157" s="36">
        <f t="shared" si="26"/>
        <v>0</v>
      </c>
      <c r="L157" s="23" t="s">
        <v>232</v>
      </c>
      <c r="M157" s="24" t="e">
        <f t="shared" si="25"/>
        <v>#VALUE!</v>
      </c>
      <c r="N157" s="19" t="e">
        <f t="shared" si="27"/>
        <v>#VALUE!</v>
      </c>
      <c r="O157" s="24" t="e">
        <f t="shared" si="28"/>
        <v>#VALUE!</v>
      </c>
      <c r="P157" s="24" t="e">
        <f t="shared" si="29"/>
        <v>#VALUE!</v>
      </c>
      <c r="Q157" s="24" t="e">
        <f t="shared" si="30"/>
        <v>#VALUE!</v>
      </c>
      <c r="R157" s="36">
        <f t="shared" si="31"/>
        <v>0</v>
      </c>
      <c r="S157" s="24">
        <v>0</v>
      </c>
      <c r="T157" s="24">
        <f t="shared" si="32"/>
        <v>0</v>
      </c>
      <c r="U157" s="23" t="e">
        <f t="shared" si="33"/>
        <v>#VALUE!</v>
      </c>
      <c r="V157" s="23" t="e">
        <f t="shared" si="34"/>
        <v>#VALUE!</v>
      </c>
      <c r="W157" s="23" t="e">
        <f t="shared" si="35"/>
        <v>#VALUE!</v>
      </c>
    </row>
    <row r="158" spans="1:23" ht="15" customHeight="1" x14ac:dyDescent="0.25">
      <c r="A158" s="19" t="s">
        <v>337</v>
      </c>
      <c r="B158" s="19" t="s">
        <v>338</v>
      </c>
      <c r="C158" s="19" t="s">
        <v>29</v>
      </c>
      <c r="D158" s="19" t="s">
        <v>22</v>
      </c>
      <c r="E158" s="19" t="s">
        <v>474</v>
      </c>
      <c r="F158" s="23">
        <v>463.55505996404435</v>
      </c>
      <c r="G158" s="24">
        <v>1749713</v>
      </c>
      <c r="H158" s="24">
        <v>2760329</v>
      </c>
      <c r="I158" s="19">
        <v>100</v>
      </c>
      <c r="J158" s="24">
        <f t="shared" si="24"/>
        <v>0</v>
      </c>
      <c r="K158" s="36">
        <f t="shared" si="26"/>
        <v>0</v>
      </c>
      <c r="L158" s="23">
        <v>573.77049180327867</v>
      </c>
      <c r="M158" s="24">
        <f t="shared" si="25"/>
        <v>0</v>
      </c>
      <c r="N158" s="19" t="e">
        <f t="shared" si="27"/>
        <v>#DIV/0!</v>
      </c>
      <c r="O158" s="24">
        <f t="shared" si="28"/>
        <v>0</v>
      </c>
      <c r="P158" s="24">
        <f t="shared" si="29"/>
        <v>0</v>
      </c>
      <c r="Q158" s="24">
        <f t="shared" si="30"/>
        <v>0</v>
      </c>
      <c r="R158" s="36">
        <f t="shared" si="31"/>
        <v>0</v>
      </c>
      <c r="S158" s="24">
        <v>36198411498.324532</v>
      </c>
      <c r="T158" s="24">
        <f t="shared" si="32"/>
        <v>542976172474.86798</v>
      </c>
      <c r="U158" s="23">
        <f t="shared" si="33"/>
        <v>0</v>
      </c>
      <c r="V158" s="23">
        <f t="shared" si="34"/>
        <v>0</v>
      </c>
      <c r="W158" s="23">
        <f t="shared" si="35"/>
        <v>0</v>
      </c>
    </row>
    <row r="159" spans="1:23" ht="15" customHeight="1" x14ac:dyDescent="0.25">
      <c r="A159" s="19" t="s">
        <v>339</v>
      </c>
      <c r="B159" s="19" t="s">
        <v>340</v>
      </c>
      <c r="C159" s="19" t="s">
        <v>18</v>
      </c>
      <c r="D159" s="19" t="s">
        <v>19</v>
      </c>
      <c r="E159" s="19" t="s">
        <v>232</v>
      </c>
      <c r="F159" s="23" t="s">
        <v>232</v>
      </c>
      <c r="G159" s="24">
        <v>20246871</v>
      </c>
      <c r="H159" s="24">
        <v>20232088</v>
      </c>
      <c r="I159" s="23" t="s">
        <v>232</v>
      </c>
      <c r="J159" s="24" t="e">
        <f t="shared" si="24"/>
        <v>#VALUE!</v>
      </c>
      <c r="K159" s="36">
        <f t="shared" si="26"/>
        <v>0</v>
      </c>
      <c r="L159" s="23" t="s">
        <v>232</v>
      </c>
      <c r="M159" s="24" t="e">
        <f t="shared" si="25"/>
        <v>#VALUE!</v>
      </c>
      <c r="N159" s="19" t="e">
        <f t="shared" si="27"/>
        <v>#VALUE!</v>
      </c>
      <c r="O159" s="24" t="e">
        <f t="shared" si="28"/>
        <v>#VALUE!</v>
      </c>
      <c r="P159" s="24" t="e">
        <f t="shared" si="29"/>
        <v>#VALUE!</v>
      </c>
      <c r="Q159" s="24" t="e">
        <f t="shared" si="30"/>
        <v>#VALUE!</v>
      </c>
      <c r="R159" s="36">
        <f t="shared" si="31"/>
        <v>0</v>
      </c>
      <c r="S159" s="24">
        <v>4151541416.0069842</v>
      </c>
      <c r="T159" s="24">
        <f t="shared" si="32"/>
        <v>62273121240.104767</v>
      </c>
      <c r="U159" s="23" t="e">
        <f t="shared" si="33"/>
        <v>#VALUE!</v>
      </c>
      <c r="V159" s="23" t="e">
        <f t="shared" si="34"/>
        <v>#VALUE!</v>
      </c>
      <c r="W159" s="23" t="e">
        <f t="shared" si="35"/>
        <v>#VALUE!</v>
      </c>
    </row>
    <row r="160" spans="1:23" ht="15" customHeight="1" x14ac:dyDescent="0.25">
      <c r="A160" s="19" t="s">
        <v>341</v>
      </c>
      <c r="B160" s="19" t="s">
        <v>342</v>
      </c>
      <c r="C160" s="19" t="s">
        <v>29</v>
      </c>
      <c r="D160" s="19" t="s">
        <v>19</v>
      </c>
      <c r="E160" s="19" t="s">
        <v>232</v>
      </c>
      <c r="F160" s="23">
        <v>270.56505523889945</v>
      </c>
      <c r="G160" s="24">
        <v>142389000</v>
      </c>
      <c r="H160" s="24">
        <v>133556108</v>
      </c>
      <c r="I160" s="19">
        <v>97</v>
      </c>
      <c r="J160" s="24">
        <f t="shared" si="24"/>
        <v>4006683.2400000035</v>
      </c>
      <c r="K160" s="36">
        <f t="shared" si="26"/>
        <v>4006683.2400000035</v>
      </c>
      <c r="L160" s="23">
        <v>270.56505523889945</v>
      </c>
      <c r="M160" s="24">
        <f t="shared" si="25"/>
        <v>1084068472.1553736</v>
      </c>
      <c r="N160" s="19">
        <f t="shared" si="27"/>
        <v>1.8630000000000001E-2</v>
      </c>
      <c r="O160" s="24">
        <f t="shared" si="28"/>
        <v>20196195.636254609</v>
      </c>
      <c r="P160" s="24">
        <f t="shared" si="29"/>
        <v>30294293.454381913</v>
      </c>
      <c r="Q160" s="24">
        <f t="shared" si="30"/>
        <v>1114362765.6097555</v>
      </c>
      <c r="R160" s="36">
        <f t="shared" si="31"/>
        <v>1114362765.6097555</v>
      </c>
      <c r="S160" s="24">
        <v>321602181004.87122</v>
      </c>
      <c r="T160" s="24">
        <f t="shared" si="32"/>
        <v>4824032715073.0684</v>
      </c>
      <c r="U160" s="23">
        <f t="shared" si="33"/>
        <v>2.3100232345602502E-4</v>
      </c>
      <c r="V160" s="23">
        <f t="shared" si="34"/>
        <v>7.7000774485341678E-5</v>
      </c>
      <c r="W160" s="23">
        <f t="shared" si="35"/>
        <v>6.9300697036807509E-4</v>
      </c>
    </row>
    <row r="161" spans="1:23" ht="15" customHeight="1" x14ac:dyDescent="0.25">
      <c r="A161" s="19" t="s">
        <v>343</v>
      </c>
      <c r="B161" s="19" t="s">
        <v>344</v>
      </c>
      <c r="C161" s="19" t="s">
        <v>14</v>
      </c>
      <c r="D161" s="19" t="s">
        <v>32</v>
      </c>
      <c r="E161" s="19" t="s">
        <v>467</v>
      </c>
      <c r="F161" s="23">
        <v>68.964152792292879</v>
      </c>
      <c r="G161" s="24">
        <v>10836732</v>
      </c>
      <c r="H161" s="24">
        <v>17771249</v>
      </c>
      <c r="I161" s="19">
        <v>70.099999999999994</v>
      </c>
      <c r="J161" s="24">
        <f t="shared" si="24"/>
        <v>5313603.4510000004</v>
      </c>
      <c r="K161" s="36">
        <f t="shared" si="26"/>
        <v>5313603.4510000004</v>
      </c>
      <c r="L161" s="23">
        <v>40.861072353996413</v>
      </c>
      <c r="M161" s="24">
        <f t="shared" si="25"/>
        <v>217119535.07175604</v>
      </c>
      <c r="N161" s="19">
        <f t="shared" si="27"/>
        <v>1.8630000000000001E-2</v>
      </c>
      <c r="O161" s="24">
        <f t="shared" si="28"/>
        <v>4044936.9383868151</v>
      </c>
      <c r="P161" s="24">
        <f t="shared" si="29"/>
        <v>6067405.4075802229</v>
      </c>
      <c r="Q161" s="24">
        <f t="shared" si="30"/>
        <v>223186940.47933626</v>
      </c>
      <c r="R161" s="36">
        <f t="shared" si="31"/>
        <v>223186940.47933626</v>
      </c>
      <c r="S161" s="24">
        <v>374942592.12015301</v>
      </c>
      <c r="T161" s="24">
        <f t="shared" si="32"/>
        <v>5624138881.8022947</v>
      </c>
      <c r="U161" s="23">
        <f t="shared" si="33"/>
        <v>3.9683753401163244E-2</v>
      </c>
      <c r="V161" s="23">
        <f t="shared" si="34"/>
        <v>1.322791780038775E-2</v>
      </c>
      <c r="W161" s="23">
        <f t="shared" si="35"/>
        <v>0.11905126020348973</v>
      </c>
    </row>
    <row r="162" spans="1:23" ht="15" customHeight="1" x14ac:dyDescent="0.25">
      <c r="A162" s="19" t="s">
        <v>345</v>
      </c>
      <c r="B162" s="19" t="s">
        <v>346</v>
      </c>
      <c r="C162" s="19" t="s">
        <v>40</v>
      </c>
      <c r="D162" s="19" t="s">
        <v>26</v>
      </c>
      <c r="E162" s="19" t="s">
        <v>473</v>
      </c>
      <c r="F162" s="23">
        <v>162.92664529511597</v>
      </c>
      <c r="G162" s="24">
        <v>186029</v>
      </c>
      <c r="H162" s="24">
        <v>211105</v>
      </c>
      <c r="I162" s="19">
        <v>97.6</v>
      </c>
      <c r="J162" s="24">
        <f t="shared" si="24"/>
        <v>5066.5200000000041</v>
      </c>
      <c r="K162" s="36">
        <f t="shared" si="26"/>
        <v>5066.5200000000041</v>
      </c>
      <c r="L162" s="23">
        <v>1000</v>
      </c>
      <c r="M162" s="24">
        <f t="shared" si="25"/>
        <v>5066520.0000000037</v>
      </c>
      <c r="N162" s="19">
        <f t="shared" si="27"/>
        <v>1.8630000000000001E-2</v>
      </c>
      <c r="O162" s="24">
        <f t="shared" si="28"/>
        <v>94389.267600000079</v>
      </c>
      <c r="P162" s="24">
        <f t="shared" si="29"/>
        <v>141583.90140000012</v>
      </c>
      <c r="Q162" s="24">
        <f t="shared" si="30"/>
        <v>5208103.9014000036</v>
      </c>
      <c r="R162" s="36">
        <f t="shared" si="31"/>
        <v>5208103.9014000036</v>
      </c>
      <c r="S162" s="24">
        <v>4184944.6022272655</v>
      </c>
      <c r="T162" s="24">
        <f t="shared" si="32"/>
        <v>62774169.033408985</v>
      </c>
      <c r="U162" s="23">
        <f t="shared" si="33"/>
        <v>8.2965716338327042E-2</v>
      </c>
      <c r="V162" s="23">
        <f t="shared" si="34"/>
        <v>2.765523877944235E-2</v>
      </c>
      <c r="W162" s="23">
        <f t="shared" si="35"/>
        <v>0.24889714901498114</v>
      </c>
    </row>
    <row r="163" spans="1:23" ht="15" customHeight="1" x14ac:dyDescent="0.25">
      <c r="A163" s="19" t="s">
        <v>347</v>
      </c>
      <c r="B163" s="19" t="s">
        <v>348</v>
      </c>
      <c r="C163" s="19" t="s">
        <v>29</v>
      </c>
      <c r="D163" s="19" t="s">
        <v>19</v>
      </c>
      <c r="E163" s="19" t="s">
        <v>232</v>
      </c>
      <c r="F163" s="23" t="s">
        <v>232</v>
      </c>
      <c r="G163" s="24">
        <v>30861</v>
      </c>
      <c r="H163" s="24">
        <v>33108</v>
      </c>
      <c r="I163" s="23" t="s">
        <v>232</v>
      </c>
      <c r="J163" s="24" t="e">
        <f t="shared" si="24"/>
        <v>#VALUE!</v>
      </c>
      <c r="K163" s="36">
        <f t="shared" si="26"/>
        <v>0</v>
      </c>
      <c r="L163" s="23" t="s">
        <v>232</v>
      </c>
      <c r="M163" s="24" t="e">
        <f t="shared" si="25"/>
        <v>#VALUE!</v>
      </c>
      <c r="N163" s="19" t="e">
        <f t="shared" si="27"/>
        <v>#VALUE!</v>
      </c>
      <c r="O163" s="24" t="e">
        <f t="shared" si="28"/>
        <v>#VALUE!</v>
      </c>
      <c r="P163" s="24" t="e">
        <f t="shared" si="29"/>
        <v>#VALUE!</v>
      </c>
      <c r="Q163" s="24" t="e">
        <f t="shared" si="30"/>
        <v>#VALUE!</v>
      </c>
      <c r="R163" s="36">
        <f t="shared" si="31"/>
        <v>0</v>
      </c>
      <c r="S163" s="23" t="s">
        <v>232</v>
      </c>
      <c r="T163" s="24" t="e">
        <f t="shared" si="32"/>
        <v>#VALUE!</v>
      </c>
      <c r="U163" s="23" t="e">
        <f t="shared" si="33"/>
        <v>#VALUE!</v>
      </c>
      <c r="V163" s="23" t="e">
        <f t="shared" si="34"/>
        <v>#VALUE!</v>
      </c>
      <c r="W163" s="23" t="e">
        <f t="shared" si="35"/>
        <v>#VALUE!</v>
      </c>
    </row>
    <row r="164" spans="1:23" ht="15" customHeight="1" x14ac:dyDescent="0.25">
      <c r="A164" s="19" t="s">
        <v>349</v>
      </c>
      <c r="B164" s="19" t="s">
        <v>350</v>
      </c>
      <c r="C164" s="19" t="s">
        <v>40</v>
      </c>
      <c r="D164" s="19" t="s">
        <v>32</v>
      </c>
      <c r="E164" s="19" t="s">
        <v>467</v>
      </c>
      <c r="F164" s="23">
        <v>68.964152792292879</v>
      </c>
      <c r="G164" s="24">
        <v>178228</v>
      </c>
      <c r="H164" s="24">
        <v>278192</v>
      </c>
      <c r="I164" s="19">
        <v>95.3</v>
      </c>
      <c r="J164" s="24">
        <f t="shared" si="24"/>
        <v>13075.024000000012</v>
      </c>
      <c r="K164" s="36">
        <f t="shared" si="26"/>
        <v>13075.024000000012</v>
      </c>
      <c r="L164" s="23">
        <v>68.964152792292879</v>
      </c>
      <c r="M164" s="24">
        <f t="shared" si="25"/>
        <v>901707.95289889723</v>
      </c>
      <c r="N164" s="19">
        <f t="shared" si="27"/>
        <v>1.8630000000000001E-2</v>
      </c>
      <c r="O164" s="24">
        <f t="shared" si="28"/>
        <v>16798.819162506457</v>
      </c>
      <c r="P164" s="24">
        <f t="shared" si="29"/>
        <v>25198.228743759686</v>
      </c>
      <c r="Q164" s="24">
        <f t="shared" si="30"/>
        <v>926906.18164265691</v>
      </c>
      <c r="R164" s="36">
        <f t="shared" si="31"/>
        <v>926906.18164265691</v>
      </c>
      <c r="S164" s="24">
        <v>6448878.1292010797</v>
      </c>
      <c r="T164" s="24">
        <f t="shared" si="32"/>
        <v>96733171.938016191</v>
      </c>
      <c r="U164" s="23">
        <f t="shared" si="33"/>
        <v>9.5820922964936113E-3</v>
      </c>
      <c r="V164" s="23">
        <f t="shared" si="34"/>
        <v>3.1940307654978704E-3</v>
      </c>
      <c r="W164" s="23">
        <f t="shared" si="35"/>
        <v>2.874627688948083E-2</v>
      </c>
    </row>
    <row r="165" spans="1:23" ht="15" customHeight="1" x14ac:dyDescent="0.25">
      <c r="A165" s="19" t="s">
        <v>351</v>
      </c>
      <c r="B165" s="19" t="s">
        <v>352</v>
      </c>
      <c r="C165" s="19" t="s">
        <v>29</v>
      </c>
      <c r="D165" s="19" t="s">
        <v>22</v>
      </c>
      <c r="E165" s="19" t="s">
        <v>474</v>
      </c>
      <c r="F165" s="23">
        <v>463.55505996404435</v>
      </c>
      <c r="G165" s="24">
        <v>27258387</v>
      </c>
      <c r="H165" s="24">
        <v>35634201</v>
      </c>
      <c r="I165" s="19">
        <v>97</v>
      </c>
      <c r="J165" s="24">
        <f t="shared" si="24"/>
        <v>1069026.030000001</v>
      </c>
      <c r="K165" s="36">
        <f t="shared" si="26"/>
        <v>1069026.030000001</v>
      </c>
      <c r="L165" s="23">
        <v>470.43752463539613</v>
      </c>
      <c r="M165" s="24">
        <f t="shared" si="25"/>
        <v>502909959.32400519</v>
      </c>
      <c r="N165" s="19">
        <f t="shared" si="27"/>
        <v>1.8630000000000001E-2</v>
      </c>
      <c r="O165" s="24">
        <f t="shared" si="28"/>
        <v>9369212.5422062166</v>
      </c>
      <c r="P165" s="24">
        <f t="shared" si="29"/>
        <v>14053818.813309325</v>
      </c>
      <c r="Q165" s="24">
        <f t="shared" si="30"/>
        <v>516963778.1373145</v>
      </c>
      <c r="R165" s="36">
        <f t="shared" si="31"/>
        <v>516963778.1373145</v>
      </c>
      <c r="S165" s="24">
        <v>227429658719.18033</v>
      </c>
      <c r="T165" s="24">
        <f t="shared" si="32"/>
        <v>3411444880787.7051</v>
      </c>
      <c r="U165" s="23">
        <f t="shared" si="33"/>
        <v>1.5153807146312361E-4</v>
      </c>
      <c r="V165" s="23">
        <f t="shared" si="34"/>
        <v>5.0512690487707877E-5</v>
      </c>
      <c r="W165" s="23">
        <f t="shared" si="35"/>
        <v>4.5461421438937083E-4</v>
      </c>
    </row>
    <row r="166" spans="1:23" ht="15" customHeight="1" x14ac:dyDescent="0.25">
      <c r="A166" s="19" t="s">
        <v>353</v>
      </c>
      <c r="B166" s="19" t="s">
        <v>354</v>
      </c>
      <c r="C166" s="19" t="s">
        <v>40</v>
      </c>
      <c r="D166" s="19" t="s">
        <v>32</v>
      </c>
      <c r="E166" s="19" t="s">
        <v>467</v>
      </c>
      <c r="F166" s="23">
        <v>68.964152792292879</v>
      </c>
      <c r="G166" s="24">
        <v>12950564</v>
      </c>
      <c r="H166" s="24">
        <v>21855703</v>
      </c>
      <c r="I166" s="19">
        <v>72.8</v>
      </c>
      <c r="J166" s="24">
        <f t="shared" si="24"/>
        <v>5944751.216</v>
      </c>
      <c r="K166" s="36">
        <f t="shared" si="26"/>
        <v>5944751.216</v>
      </c>
      <c r="L166" s="23">
        <v>108.27181525648305</v>
      </c>
      <c r="M166" s="24">
        <f t="shared" si="25"/>
        <v>643649005.40450501</v>
      </c>
      <c r="N166" s="19">
        <f t="shared" si="27"/>
        <v>1.8630000000000001E-2</v>
      </c>
      <c r="O166" s="24">
        <f t="shared" si="28"/>
        <v>11991180.970685929</v>
      </c>
      <c r="P166" s="24">
        <f t="shared" si="29"/>
        <v>17986771.456028894</v>
      </c>
      <c r="Q166" s="24">
        <f t="shared" si="30"/>
        <v>661635776.86053395</v>
      </c>
      <c r="R166" s="36">
        <f t="shared" si="31"/>
        <v>661635776.86053395</v>
      </c>
      <c r="S166" s="24">
        <v>551591058.22012687</v>
      </c>
      <c r="T166" s="24">
        <f t="shared" si="32"/>
        <v>8273865873.3019028</v>
      </c>
      <c r="U166" s="23">
        <f t="shared" si="33"/>
        <v>7.9966944955622163E-2</v>
      </c>
      <c r="V166" s="23">
        <f t="shared" si="34"/>
        <v>2.6655648318540722E-2</v>
      </c>
      <c r="W166" s="23">
        <f t="shared" si="35"/>
        <v>0.23990083486686647</v>
      </c>
    </row>
    <row r="167" spans="1:23" ht="15" customHeight="1" x14ac:dyDescent="0.25">
      <c r="A167" s="19" t="s">
        <v>355</v>
      </c>
      <c r="B167" s="19" t="s">
        <v>356</v>
      </c>
      <c r="C167" s="19" t="s">
        <v>18</v>
      </c>
      <c r="D167" s="19" t="s">
        <v>19</v>
      </c>
      <c r="E167" s="19" t="s">
        <v>232</v>
      </c>
      <c r="F167" s="23" t="s">
        <v>232</v>
      </c>
      <c r="G167" s="24">
        <v>7291436</v>
      </c>
      <c r="H167" s="24">
        <v>8582256</v>
      </c>
      <c r="I167" s="19">
        <v>99.2</v>
      </c>
      <c r="J167" s="24">
        <f t="shared" si="24"/>
        <v>68658.048000000068</v>
      </c>
      <c r="K167" s="36">
        <f t="shared" si="26"/>
        <v>68658.048000000068</v>
      </c>
      <c r="L167" s="23" t="s">
        <v>232</v>
      </c>
      <c r="M167" s="24" t="e">
        <f t="shared" si="25"/>
        <v>#VALUE!</v>
      </c>
      <c r="N167" s="19" t="e">
        <f t="shared" si="27"/>
        <v>#VALUE!</v>
      </c>
      <c r="O167" s="24" t="e">
        <f t="shared" si="28"/>
        <v>#VALUE!</v>
      </c>
      <c r="P167" s="24" t="e">
        <f t="shared" si="29"/>
        <v>#VALUE!</v>
      </c>
      <c r="Q167" s="24" t="e">
        <f t="shared" si="30"/>
        <v>#VALUE!</v>
      </c>
      <c r="R167" s="36">
        <f t="shared" si="31"/>
        <v>0</v>
      </c>
      <c r="S167" s="24">
        <v>1253506714.6213751</v>
      </c>
      <c r="T167" s="24">
        <f t="shared" si="32"/>
        <v>18802600719.320625</v>
      </c>
      <c r="U167" s="23" t="e">
        <f t="shared" si="33"/>
        <v>#VALUE!</v>
      </c>
      <c r="V167" s="23" t="e">
        <f t="shared" si="34"/>
        <v>#VALUE!</v>
      </c>
      <c r="W167" s="23" t="e">
        <f t="shared" si="35"/>
        <v>#VALUE!</v>
      </c>
    </row>
    <row r="168" spans="1:23" ht="15" customHeight="1" x14ac:dyDescent="0.25">
      <c r="A168" s="19" t="s">
        <v>357</v>
      </c>
      <c r="B168" s="19" t="s">
        <v>358</v>
      </c>
      <c r="C168" s="19" t="s">
        <v>18</v>
      </c>
      <c r="D168" s="19" t="s">
        <v>32</v>
      </c>
      <c r="E168" s="19" t="s">
        <v>467</v>
      </c>
      <c r="F168" s="23">
        <v>68.964152792292879</v>
      </c>
      <c r="G168" s="24">
        <v>89770</v>
      </c>
      <c r="H168" s="24">
        <v>98416</v>
      </c>
      <c r="I168" s="19">
        <v>96.3</v>
      </c>
      <c r="J168" s="24">
        <f t="shared" si="24"/>
        <v>3641.392000000003</v>
      </c>
      <c r="K168" s="36">
        <f t="shared" si="26"/>
        <v>3641.392000000003</v>
      </c>
      <c r="L168" s="23">
        <v>68.964152792292879</v>
      </c>
      <c r="M168" s="24">
        <f t="shared" si="25"/>
        <v>251125.51426463315</v>
      </c>
      <c r="N168" s="19">
        <f t="shared" si="27"/>
        <v>1.8630000000000001E-2</v>
      </c>
      <c r="O168" s="24">
        <f t="shared" si="28"/>
        <v>4678.4683307501155</v>
      </c>
      <c r="P168" s="24">
        <f t="shared" si="29"/>
        <v>7017.7024961251736</v>
      </c>
      <c r="Q168" s="24">
        <f t="shared" si="30"/>
        <v>258143.21676075831</v>
      </c>
      <c r="R168" s="36">
        <f t="shared" si="31"/>
        <v>258143.21676075831</v>
      </c>
      <c r="S168" s="24">
        <v>1160995.7542812461</v>
      </c>
      <c r="T168" s="24">
        <f t="shared" si="32"/>
        <v>17414936.314218692</v>
      </c>
      <c r="U168" s="23">
        <f t="shared" si="33"/>
        <v>1.4823092780993596E-2</v>
      </c>
      <c r="V168" s="23">
        <f t="shared" si="34"/>
        <v>4.9410309269978655E-3</v>
      </c>
      <c r="W168" s="23">
        <f t="shared" si="35"/>
        <v>4.4469278342980784E-2</v>
      </c>
    </row>
    <row r="169" spans="1:23" ht="15" customHeight="1" x14ac:dyDescent="0.25">
      <c r="A169" s="19" t="s">
        <v>359</v>
      </c>
      <c r="B169" s="19" t="s">
        <v>360</v>
      </c>
      <c r="C169" s="19" t="s">
        <v>14</v>
      </c>
      <c r="D169" s="19" t="s">
        <v>32</v>
      </c>
      <c r="E169" s="19" t="s">
        <v>467</v>
      </c>
      <c r="F169" s="23">
        <v>68.964152792292879</v>
      </c>
      <c r="G169" s="24">
        <v>5751976</v>
      </c>
      <c r="H169" s="24">
        <v>8057580</v>
      </c>
      <c r="I169" s="19">
        <v>57.9</v>
      </c>
      <c r="J169" s="24">
        <f t="shared" si="24"/>
        <v>3392241.18</v>
      </c>
      <c r="K169" s="36">
        <f t="shared" si="26"/>
        <v>3392241.18</v>
      </c>
      <c r="L169" s="23">
        <v>70.468796655718123</v>
      </c>
      <c r="M169" s="24">
        <f t="shared" si="25"/>
        <v>239047153.92057332</v>
      </c>
      <c r="N169" s="19">
        <f t="shared" si="27"/>
        <v>1.8630000000000001E-2</v>
      </c>
      <c r="O169" s="24">
        <f t="shared" si="28"/>
        <v>4453448.4775402816</v>
      </c>
      <c r="P169" s="24">
        <f t="shared" si="29"/>
        <v>6680172.7163104229</v>
      </c>
      <c r="Q169" s="24">
        <f t="shared" si="30"/>
        <v>245727326.63688374</v>
      </c>
      <c r="R169" s="36">
        <f t="shared" si="31"/>
        <v>245727326.63688374</v>
      </c>
      <c r="S169" s="24">
        <v>309951994.2008189</v>
      </c>
      <c r="T169" s="24">
        <f t="shared" si="32"/>
        <v>4649279913.0122833</v>
      </c>
      <c r="U169" s="23">
        <f t="shared" si="33"/>
        <v>5.285277101710923E-2</v>
      </c>
      <c r="V169" s="23">
        <f t="shared" si="34"/>
        <v>1.7617590339036409E-2</v>
      </c>
      <c r="W169" s="23">
        <f t="shared" si="35"/>
        <v>0.1585583130513277</v>
      </c>
    </row>
    <row r="170" spans="1:23" ht="15" customHeight="1" x14ac:dyDescent="0.25">
      <c r="A170" s="19" t="s">
        <v>361</v>
      </c>
      <c r="B170" s="19" t="s">
        <v>362</v>
      </c>
      <c r="C170" s="19" t="s">
        <v>29</v>
      </c>
      <c r="D170" s="19" t="s">
        <v>26</v>
      </c>
      <c r="E170" s="19" t="s">
        <v>471</v>
      </c>
      <c r="F170" s="23">
        <v>286.39139284675775</v>
      </c>
      <c r="G170" s="24">
        <v>5076700</v>
      </c>
      <c r="H170" s="24">
        <v>6577884</v>
      </c>
      <c r="I170" s="19">
        <v>100</v>
      </c>
      <c r="J170" s="24">
        <f t="shared" si="24"/>
        <v>0</v>
      </c>
      <c r="K170" s="36">
        <f t="shared" si="26"/>
        <v>0</v>
      </c>
      <c r="L170" s="23">
        <v>576.5765765765766</v>
      </c>
      <c r="M170" s="24">
        <f t="shared" si="25"/>
        <v>0</v>
      </c>
      <c r="N170" s="19" t="e">
        <f t="shared" si="27"/>
        <v>#DIV/0!</v>
      </c>
      <c r="O170" s="24">
        <f t="shared" si="28"/>
        <v>0</v>
      </c>
      <c r="P170" s="24">
        <f t="shared" si="29"/>
        <v>0</v>
      </c>
      <c r="Q170" s="24">
        <f t="shared" si="30"/>
        <v>0</v>
      </c>
      <c r="R170" s="36">
        <f t="shared" si="31"/>
        <v>0</v>
      </c>
      <c r="S170" s="24">
        <v>0</v>
      </c>
      <c r="T170" s="24">
        <f t="shared" si="32"/>
        <v>0</v>
      </c>
      <c r="U170" s="23" t="e">
        <f t="shared" si="33"/>
        <v>#DIV/0!</v>
      </c>
      <c r="V170" s="23" t="e">
        <f t="shared" si="34"/>
        <v>#DIV/0!</v>
      </c>
      <c r="W170" s="23" t="e">
        <f t="shared" si="35"/>
        <v>#DIV/0!</v>
      </c>
    </row>
    <row r="171" spans="1:23" ht="15" customHeight="1" x14ac:dyDescent="0.25">
      <c r="A171" s="19" t="s">
        <v>363</v>
      </c>
      <c r="B171" s="19" t="s">
        <v>364</v>
      </c>
      <c r="C171" s="19" t="s">
        <v>29</v>
      </c>
      <c r="D171" s="19" t="s">
        <v>35</v>
      </c>
      <c r="E171" s="19" t="s">
        <v>468</v>
      </c>
      <c r="F171" s="23">
        <v>457.1136934673367</v>
      </c>
      <c r="G171" s="24">
        <v>37850</v>
      </c>
      <c r="H171" s="24">
        <v>56791</v>
      </c>
      <c r="I171" s="23" t="s">
        <v>232</v>
      </c>
      <c r="J171" s="24" t="e">
        <f t="shared" si="24"/>
        <v>#VALUE!</v>
      </c>
      <c r="K171" s="36">
        <f t="shared" si="26"/>
        <v>0</v>
      </c>
      <c r="L171" s="23" t="s">
        <v>232</v>
      </c>
      <c r="M171" s="24" t="e">
        <f t="shared" si="25"/>
        <v>#VALUE!</v>
      </c>
      <c r="N171" s="19" t="e">
        <f t="shared" si="27"/>
        <v>#VALUE!</v>
      </c>
      <c r="O171" s="24" t="e">
        <f t="shared" si="28"/>
        <v>#VALUE!</v>
      </c>
      <c r="P171" s="24" t="e">
        <f t="shared" si="29"/>
        <v>#VALUE!</v>
      </c>
      <c r="Q171" s="24" t="e">
        <f t="shared" si="30"/>
        <v>#VALUE!</v>
      </c>
      <c r="R171" s="36">
        <f t="shared" si="31"/>
        <v>0</v>
      </c>
      <c r="S171" s="23" t="s">
        <v>232</v>
      </c>
      <c r="T171" s="24" t="e">
        <f t="shared" si="32"/>
        <v>#VALUE!</v>
      </c>
      <c r="U171" s="23" t="e">
        <f t="shared" si="33"/>
        <v>#VALUE!</v>
      </c>
      <c r="V171" s="23" t="e">
        <f t="shared" si="34"/>
        <v>#VALUE!</v>
      </c>
      <c r="W171" s="23" t="e">
        <f t="shared" si="35"/>
        <v>#VALUE!</v>
      </c>
    </row>
    <row r="172" spans="1:23" ht="15" customHeight="1" x14ac:dyDescent="0.25">
      <c r="A172" s="19" t="s">
        <v>365</v>
      </c>
      <c r="B172" s="19" t="s">
        <v>366</v>
      </c>
      <c r="C172" s="19" t="s">
        <v>45</v>
      </c>
      <c r="D172" s="19" t="s">
        <v>19</v>
      </c>
      <c r="E172" s="19" t="s">
        <v>232</v>
      </c>
      <c r="F172" s="23" t="s">
        <v>232</v>
      </c>
      <c r="G172" s="24">
        <v>5391428</v>
      </c>
      <c r="H172" s="24">
        <v>5395535</v>
      </c>
      <c r="I172" s="19">
        <v>100</v>
      </c>
      <c r="J172" s="24">
        <f t="shared" si="24"/>
        <v>0</v>
      </c>
      <c r="K172" s="36">
        <f t="shared" si="26"/>
        <v>0</v>
      </c>
      <c r="L172" s="23" t="s">
        <v>232</v>
      </c>
      <c r="M172" s="24" t="e">
        <f t="shared" si="25"/>
        <v>#VALUE!</v>
      </c>
      <c r="N172" s="19" t="e">
        <f t="shared" si="27"/>
        <v>#VALUE!</v>
      </c>
      <c r="O172" s="24" t="e">
        <f t="shared" si="28"/>
        <v>#VALUE!</v>
      </c>
      <c r="P172" s="24" t="e">
        <f t="shared" si="29"/>
        <v>#VALUE!</v>
      </c>
      <c r="Q172" s="24" t="e">
        <f t="shared" si="30"/>
        <v>#VALUE!</v>
      </c>
      <c r="R172" s="36">
        <f t="shared" si="31"/>
        <v>0</v>
      </c>
      <c r="S172" s="24">
        <v>586207377.22308779</v>
      </c>
      <c r="T172" s="24">
        <f t="shared" si="32"/>
        <v>8793110658.3463173</v>
      </c>
      <c r="U172" s="23" t="e">
        <f t="shared" si="33"/>
        <v>#VALUE!</v>
      </c>
      <c r="V172" s="23" t="e">
        <f t="shared" si="34"/>
        <v>#VALUE!</v>
      </c>
      <c r="W172" s="23" t="e">
        <f t="shared" si="35"/>
        <v>#VALUE!</v>
      </c>
    </row>
    <row r="173" spans="1:23" ht="15" customHeight="1" x14ac:dyDescent="0.25">
      <c r="A173" s="19" t="s">
        <v>367</v>
      </c>
      <c r="B173" s="19" t="s">
        <v>368</v>
      </c>
      <c r="C173" s="19" t="s">
        <v>45</v>
      </c>
      <c r="D173" s="19" t="s">
        <v>19</v>
      </c>
      <c r="E173" s="19" t="s">
        <v>232</v>
      </c>
      <c r="F173" s="23" t="s">
        <v>232</v>
      </c>
      <c r="G173" s="24">
        <v>2048583</v>
      </c>
      <c r="H173" s="24">
        <v>2086065.9999999998</v>
      </c>
      <c r="I173" s="19">
        <v>99.6</v>
      </c>
      <c r="J173" s="24">
        <f t="shared" si="24"/>
        <v>8344.2640000000065</v>
      </c>
      <c r="K173" s="36">
        <f t="shared" si="26"/>
        <v>8344.2640000000065</v>
      </c>
      <c r="L173" s="23" t="s">
        <v>232</v>
      </c>
      <c r="M173" s="24" t="e">
        <f t="shared" si="25"/>
        <v>#VALUE!</v>
      </c>
      <c r="N173" s="19" t="e">
        <f t="shared" si="27"/>
        <v>#VALUE!</v>
      </c>
      <c r="O173" s="24" t="e">
        <f t="shared" si="28"/>
        <v>#VALUE!</v>
      </c>
      <c r="P173" s="24" t="e">
        <f t="shared" si="29"/>
        <v>#VALUE!</v>
      </c>
      <c r="Q173" s="24" t="e">
        <f t="shared" si="30"/>
        <v>#VALUE!</v>
      </c>
      <c r="R173" s="36">
        <f t="shared" si="31"/>
        <v>0</v>
      </c>
      <c r="S173" s="24">
        <v>179102965.90790325</v>
      </c>
      <c r="T173" s="24">
        <f t="shared" si="32"/>
        <v>2686544488.6185489</v>
      </c>
      <c r="U173" s="23" t="e">
        <f t="shared" si="33"/>
        <v>#VALUE!</v>
      </c>
      <c r="V173" s="23" t="e">
        <f t="shared" si="34"/>
        <v>#VALUE!</v>
      </c>
      <c r="W173" s="23" t="e">
        <f t="shared" si="35"/>
        <v>#VALUE!</v>
      </c>
    </row>
    <row r="174" spans="1:23" ht="15" customHeight="1" x14ac:dyDescent="0.25">
      <c r="A174" s="19" t="s">
        <v>369</v>
      </c>
      <c r="B174" s="19" t="s">
        <v>370</v>
      </c>
      <c r="C174" s="19" t="s">
        <v>40</v>
      </c>
      <c r="D174" s="19" t="s">
        <v>26</v>
      </c>
      <c r="E174" s="19" t="s">
        <v>473</v>
      </c>
      <c r="F174" s="23">
        <v>162.92664529511597</v>
      </c>
      <c r="G174" s="24">
        <v>526447</v>
      </c>
      <c r="H174" s="24">
        <v>764146</v>
      </c>
      <c r="I174" s="19">
        <v>80.400000000000006</v>
      </c>
      <c r="J174" s="24">
        <f t="shared" si="24"/>
        <v>149772.61599999995</v>
      </c>
      <c r="K174" s="36">
        <f t="shared" si="26"/>
        <v>149772.61599999995</v>
      </c>
      <c r="L174" s="23">
        <v>176.47058823529412</v>
      </c>
      <c r="M174" s="24">
        <f t="shared" si="25"/>
        <v>26430461.647058815</v>
      </c>
      <c r="N174" s="19">
        <f t="shared" si="27"/>
        <v>1.8630000000000001E-2</v>
      </c>
      <c r="O174" s="24">
        <f t="shared" si="28"/>
        <v>492399.50048470573</v>
      </c>
      <c r="P174" s="24">
        <f t="shared" si="29"/>
        <v>738599.25072705862</v>
      </c>
      <c r="Q174" s="24">
        <f t="shared" si="30"/>
        <v>27169060.897785872</v>
      </c>
      <c r="R174" s="36">
        <f t="shared" si="31"/>
        <v>27169060.897785872</v>
      </c>
      <c r="S174" s="24">
        <v>177911447.47763148</v>
      </c>
      <c r="T174" s="24">
        <f t="shared" si="32"/>
        <v>2668671712.1644721</v>
      </c>
      <c r="U174" s="23">
        <f t="shared" si="33"/>
        <v>1.0180743016813387E-2</v>
      </c>
      <c r="V174" s="23">
        <f t="shared" si="34"/>
        <v>3.3935810056044623E-3</v>
      </c>
      <c r="W174" s="23">
        <f t="shared" si="35"/>
        <v>3.054222905044016E-2</v>
      </c>
    </row>
    <row r="175" spans="1:23" ht="15" customHeight="1" x14ac:dyDescent="0.25">
      <c r="A175" s="19" t="s">
        <v>371</v>
      </c>
      <c r="B175" s="19" t="s">
        <v>372</v>
      </c>
      <c r="C175" s="19" t="s">
        <v>14</v>
      </c>
      <c r="D175" s="19" t="s">
        <v>32</v>
      </c>
      <c r="E175" s="19" t="s">
        <v>467</v>
      </c>
      <c r="F175" s="23">
        <v>68.964152792292879</v>
      </c>
      <c r="G175" s="24">
        <v>9636173</v>
      </c>
      <c r="H175" s="24">
        <v>16880129</v>
      </c>
      <c r="I175" s="19">
        <v>31.5</v>
      </c>
      <c r="J175" s="24">
        <f t="shared" si="24"/>
        <v>11562888.365</v>
      </c>
      <c r="K175" s="36">
        <f t="shared" si="26"/>
        <v>11562888.365</v>
      </c>
      <c r="L175" s="23">
        <v>72.418529154700963</v>
      </c>
      <c r="M175" s="24">
        <f t="shared" si="25"/>
        <v>837367368.17330503</v>
      </c>
      <c r="N175" s="19">
        <f t="shared" si="27"/>
        <v>1.8630000000000001E-2</v>
      </c>
      <c r="O175" s="24">
        <f t="shared" si="28"/>
        <v>15600154.069068674</v>
      </c>
      <c r="P175" s="24">
        <f t="shared" si="29"/>
        <v>23400231.103603013</v>
      </c>
      <c r="Q175" s="24">
        <f t="shared" si="30"/>
        <v>860767599.27690804</v>
      </c>
      <c r="R175" s="36">
        <f t="shared" si="31"/>
        <v>860767599.27690804</v>
      </c>
      <c r="S175" s="23" t="s">
        <v>232</v>
      </c>
      <c r="T175" s="24" t="e">
        <f t="shared" si="32"/>
        <v>#VALUE!</v>
      </c>
      <c r="U175" s="23" t="e">
        <f t="shared" si="33"/>
        <v>#VALUE!</v>
      </c>
      <c r="V175" s="23" t="e">
        <f t="shared" si="34"/>
        <v>#VALUE!</v>
      </c>
      <c r="W175" s="23" t="e">
        <f t="shared" si="35"/>
        <v>#VALUE!</v>
      </c>
    </row>
    <row r="176" spans="1:23" ht="15" customHeight="1" x14ac:dyDescent="0.25">
      <c r="A176" s="19" t="s">
        <v>373</v>
      </c>
      <c r="B176" s="19" t="s">
        <v>374</v>
      </c>
      <c r="C176" s="19" t="s">
        <v>18</v>
      </c>
      <c r="D176" s="19" t="s">
        <v>32</v>
      </c>
      <c r="E176" s="19" t="s">
        <v>467</v>
      </c>
      <c r="F176" s="23">
        <v>68.964152792292879</v>
      </c>
      <c r="G176" s="24">
        <v>50895698</v>
      </c>
      <c r="H176" s="24">
        <v>58095501</v>
      </c>
      <c r="I176" s="19">
        <v>93.8</v>
      </c>
      <c r="J176" s="24">
        <f t="shared" si="24"/>
        <v>3601921.0620000032</v>
      </c>
      <c r="K176" s="36">
        <f t="shared" si="26"/>
        <v>3601921.0620000032</v>
      </c>
      <c r="L176" s="23">
        <v>289.36017253774264</v>
      </c>
      <c r="M176" s="24">
        <f t="shared" si="25"/>
        <v>1042252499.9676502</v>
      </c>
      <c r="N176" s="19">
        <f t="shared" si="27"/>
        <v>1.8630000000000001E-2</v>
      </c>
      <c r="O176" s="24">
        <f t="shared" si="28"/>
        <v>19417164.074397322</v>
      </c>
      <c r="P176" s="24">
        <f t="shared" si="29"/>
        <v>29125746.111595985</v>
      </c>
      <c r="Q176" s="24">
        <f t="shared" si="30"/>
        <v>1071378246.0792462</v>
      </c>
      <c r="R176" s="36">
        <f t="shared" si="31"/>
        <v>1071378246.0792462</v>
      </c>
      <c r="S176" s="24">
        <v>29273625097.571095</v>
      </c>
      <c r="T176" s="24">
        <f t="shared" si="32"/>
        <v>439104376463.56641</v>
      </c>
      <c r="U176" s="23">
        <f t="shared" si="33"/>
        <v>2.4399170299960358E-3</v>
      </c>
      <c r="V176" s="23">
        <f t="shared" si="34"/>
        <v>8.1330567666534524E-4</v>
      </c>
      <c r="W176" s="23">
        <f t="shared" si="35"/>
        <v>7.3197510899881075E-3</v>
      </c>
    </row>
    <row r="177" spans="1:23" ht="15" customHeight="1" x14ac:dyDescent="0.25">
      <c r="A177" s="19" t="s">
        <v>375</v>
      </c>
      <c r="B177" s="19" t="s">
        <v>376</v>
      </c>
      <c r="C177" s="19" t="s">
        <v>14</v>
      </c>
      <c r="D177" s="19" t="s">
        <v>32</v>
      </c>
      <c r="E177" s="19" t="s">
        <v>467</v>
      </c>
      <c r="F177" s="23">
        <v>68.964152792292879</v>
      </c>
      <c r="G177" s="24">
        <v>9940929</v>
      </c>
      <c r="H177" s="24">
        <v>17296842</v>
      </c>
      <c r="I177" s="23" t="s">
        <v>232</v>
      </c>
      <c r="J177" s="24" t="e">
        <f t="shared" si="24"/>
        <v>#VALUE!</v>
      </c>
      <c r="K177" s="36">
        <f t="shared" si="26"/>
        <v>0</v>
      </c>
      <c r="L177" s="23" t="s">
        <v>232</v>
      </c>
      <c r="M177" s="24" t="e">
        <f t="shared" si="25"/>
        <v>#VALUE!</v>
      </c>
      <c r="N177" s="19" t="e">
        <f t="shared" si="27"/>
        <v>#VALUE!</v>
      </c>
      <c r="O177" s="24" t="e">
        <f t="shared" si="28"/>
        <v>#VALUE!</v>
      </c>
      <c r="P177" s="24" t="e">
        <f t="shared" si="29"/>
        <v>#VALUE!</v>
      </c>
      <c r="Q177" s="24" t="e">
        <f t="shared" si="30"/>
        <v>#VALUE!</v>
      </c>
      <c r="R177" s="36">
        <f t="shared" si="31"/>
        <v>0</v>
      </c>
      <c r="S177" s="24">
        <v>0</v>
      </c>
      <c r="T177" s="24">
        <f t="shared" si="32"/>
        <v>0</v>
      </c>
      <c r="U177" s="23" t="e">
        <f t="shared" si="33"/>
        <v>#VALUE!</v>
      </c>
      <c r="V177" s="23" t="e">
        <f t="shared" si="34"/>
        <v>#VALUE!</v>
      </c>
      <c r="W177" s="23" t="e">
        <f t="shared" si="35"/>
        <v>#VALUE!</v>
      </c>
    </row>
    <row r="178" spans="1:23" ht="15" customHeight="1" x14ac:dyDescent="0.25">
      <c r="A178" s="19" t="s">
        <v>377</v>
      </c>
      <c r="B178" s="19" t="s">
        <v>378</v>
      </c>
      <c r="C178" s="19" t="s">
        <v>45</v>
      </c>
      <c r="D178" s="19" t="s">
        <v>19</v>
      </c>
      <c r="E178" s="19" t="s">
        <v>232</v>
      </c>
      <c r="F178" s="23" t="s">
        <v>232</v>
      </c>
      <c r="G178" s="24">
        <v>46576897</v>
      </c>
      <c r="H178" s="24">
        <v>48235492</v>
      </c>
      <c r="I178" s="19">
        <v>100</v>
      </c>
      <c r="J178" s="24">
        <f t="shared" si="24"/>
        <v>0</v>
      </c>
      <c r="K178" s="36">
        <f t="shared" si="26"/>
        <v>0</v>
      </c>
      <c r="L178" s="23" t="s">
        <v>232</v>
      </c>
      <c r="M178" s="24" t="e">
        <f t="shared" si="25"/>
        <v>#VALUE!</v>
      </c>
      <c r="N178" s="19" t="e">
        <f t="shared" si="27"/>
        <v>#VALUE!</v>
      </c>
      <c r="O178" s="24" t="e">
        <f t="shared" si="28"/>
        <v>#VALUE!</v>
      </c>
      <c r="P178" s="24" t="e">
        <f t="shared" si="29"/>
        <v>#VALUE!</v>
      </c>
      <c r="Q178" s="24" t="e">
        <f t="shared" si="30"/>
        <v>#VALUE!</v>
      </c>
      <c r="R178" s="36">
        <f t="shared" si="31"/>
        <v>0</v>
      </c>
      <c r="S178" s="24">
        <v>2120296778.8542163</v>
      </c>
      <c r="T178" s="24">
        <f t="shared" si="32"/>
        <v>31804451682.813244</v>
      </c>
      <c r="U178" s="23" t="e">
        <f t="shared" si="33"/>
        <v>#VALUE!</v>
      </c>
      <c r="V178" s="23" t="e">
        <f t="shared" si="34"/>
        <v>#VALUE!</v>
      </c>
      <c r="W178" s="23" t="e">
        <f t="shared" si="35"/>
        <v>#VALUE!</v>
      </c>
    </row>
    <row r="179" spans="1:23" ht="15" customHeight="1" x14ac:dyDescent="0.25">
      <c r="A179" s="19" t="s">
        <v>379</v>
      </c>
      <c r="B179" s="19" t="s">
        <v>380</v>
      </c>
      <c r="C179" s="19" t="s">
        <v>40</v>
      </c>
      <c r="D179" s="19" t="s">
        <v>15</v>
      </c>
      <c r="E179" s="19" t="s">
        <v>465</v>
      </c>
      <c r="F179" s="23">
        <v>25.998990717254753</v>
      </c>
      <c r="G179" s="24">
        <v>20653000</v>
      </c>
      <c r="H179" s="24">
        <v>23271183</v>
      </c>
      <c r="I179" s="19">
        <v>91.4</v>
      </c>
      <c r="J179" s="24">
        <f t="shared" si="24"/>
        <v>2001321.7379999992</v>
      </c>
      <c r="K179" s="36">
        <f t="shared" si="26"/>
        <v>2001321.7379999992</v>
      </c>
      <c r="L179" s="23">
        <v>21.428571428571427</v>
      </c>
      <c r="M179" s="24">
        <f t="shared" si="25"/>
        <v>42885465.814285696</v>
      </c>
      <c r="N179" s="19">
        <f t="shared" si="27"/>
        <v>1.8630000000000001E-2</v>
      </c>
      <c r="O179" s="24">
        <f t="shared" si="28"/>
        <v>798956.22812014259</v>
      </c>
      <c r="P179" s="24">
        <f t="shared" si="29"/>
        <v>1198434.3421802139</v>
      </c>
      <c r="Q179" s="24">
        <f t="shared" si="30"/>
        <v>44083900.15646591</v>
      </c>
      <c r="R179" s="36">
        <f t="shared" si="31"/>
        <v>44083900.15646591</v>
      </c>
      <c r="S179" s="24">
        <v>464220477.24420649</v>
      </c>
      <c r="T179" s="24">
        <f t="shared" si="32"/>
        <v>6963307158.6630974</v>
      </c>
      <c r="U179" s="23">
        <f t="shared" si="33"/>
        <v>6.3308854761089826E-3</v>
      </c>
      <c r="V179" s="23">
        <f t="shared" si="34"/>
        <v>2.1102951587029942E-3</v>
      </c>
      <c r="W179" s="23">
        <f t="shared" si="35"/>
        <v>1.8992656428326947E-2</v>
      </c>
    </row>
    <row r="180" spans="1:23" s="31" customFormat="1" ht="15" customHeight="1" x14ac:dyDescent="0.25">
      <c r="A180" s="31" t="s">
        <v>381</v>
      </c>
      <c r="B180" s="31" t="s">
        <v>382</v>
      </c>
      <c r="C180" s="31" t="s">
        <v>29</v>
      </c>
      <c r="D180" s="31" t="s">
        <v>35</v>
      </c>
      <c r="E180" s="31" t="s">
        <v>468</v>
      </c>
      <c r="F180" s="29">
        <v>457.1136934673367</v>
      </c>
      <c r="G180" s="30">
        <v>52352</v>
      </c>
      <c r="H180" s="30">
        <v>62581</v>
      </c>
      <c r="I180" s="31">
        <v>98.3</v>
      </c>
      <c r="J180" s="24">
        <f t="shared" si="24"/>
        <v>1063.8770000000009</v>
      </c>
      <c r="K180" s="36">
        <f t="shared" si="26"/>
        <v>1063.8770000000009</v>
      </c>
      <c r="L180" s="29">
        <v>457.1136934673367</v>
      </c>
      <c r="M180" s="24">
        <f t="shared" si="25"/>
        <v>486312.74486495019</v>
      </c>
      <c r="N180" s="19">
        <f t="shared" si="27"/>
        <v>1.8630000000000001E-2</v>
      </c>
      <c r="O180" s="24">
        <f t="shared" si="28"/>
        <v>9060.0064368340227</v>
      </c>
      <c r="P180" s="24">
        <f t="shared" si="29"/>
        <v>13590.009655251033</v>
      </c>
      <c r="Q180" s="24">
        <f t="shared" si="30"/>
        <v>499902.75452020124</v>
      </c>
      <c r="R180" s="36">
        <f t="shared" si="31"/>
        <v>499902.75452020124</v>
      </c>
      <c r="S180" s="24">
        <v>0</v>
      </c>
      <c r="T180" s="24">
        <f t="shared" si="32"/>
        <v>0</v>
      </c>
      <c r="U180" s="23" t="e">
        <f t="shared" si="33"/>
        <v>#DIV/0!</v>
      </c>
      <c r="V180" s="23" t="e">
        <f t="shared" si="34"/>
        <v>#DIV/0!</v>
      </c>
      <c r="W180" s="23" t="e">
        <f t="shared" si="35"/>
        <v>#DIV/0!</v>
      </c>
    </row>
    <row r="181" spans="1:23" ht="15" customHeight="1" x14ac:dyDescent="0.25">
      <c r="A181" s="19" t="s">
        <v>383</v>
      </c>
      <c r="B181" s="19" t="s">
        <v>384</v>
      </c>
      <c r="C181" s="19" t="s">
        <v>18</v>
      </c>
      <c r="D181" s="19" t="s">
        <v>35</v>
      </c>
      <c r="E181" s="19" t="s">
        <v>468</v>
      </c>
      <c r="F181" s="23">
        <v>457.1136934673367</v>
      </c>
      <c r="G181" s="24">
        <v>177397</v>
      </c>
      <c r="H181" s="24">
        <v>201817</v>
      </c>
      <c r="I181" s="19">
        <v>93.8</v>
      </c>
      <c r="J181" s="24">
        <f t="shared" si="24"/>
        <v>12512.654000000011</v>
      </c>
      <c r="K181" s="36">
        <f t="shared" si="26"/>
        <v>12512.654000000011</v>
      </c>
      <c r="L181" s="23">
        <v>457.1136934673367</v>
      </c>
      <c r="M181" s="24">
        <f t="shared" si="25"/>
        <v>5719705.4850188494</v>
      </c>
      <c r="N181" s="19">
        <f t="shared" si="27"/>
        <v>1.8630000000000001E-2</v>
      </c>
      <c r="O181" s="24">
        <f t="shared" si="28"/>
        <v>106558.11318590117</v>
      </c>
      <c r="P181" s="24">
        <f t="shared" si="29"/>
        <v>159837.16977885173</v>
      </c>
      <c r="Q181" s="24">
        <f t="shared" si="30"/>
        <v>5879542.6547977012</v>
      </c>
      <c r="R181" s="36">
        <f t="shared" si="31"/>
        <v>5879542.6547977012</v>
      </c>
      <c r="S181" s="24">
        <v>643469.71291057637</v>
      </c>
      <c r="T181" s="24">
        <f t="shared" si="32"/>
        <v>9652045.6936586462</v>
      </c>
      <c r="U181" s="23">
        <f t="shared" si="33"/>
        <v>0.60914989851949586</v>
      </c>
      <c r="V181" s="23">
        <f t="shared" si="34"/>
        <v>0.20304996617316529</v>
      </c>
      <c r="W181" s="23">
        <f t="shared" si="35"/>
        <v>1.8274496955584874</v>
      </c>
    </row>
    <row r="182" spans="1:23" ht="15" customHeight="1" x14ac:dyDescent="0.25">
      <c r="A182" s="19" t="s">
        <v>385</v>
      </c>
      <c r="B182" s="19" t="s">
        <v>386</v>
      </c>
      <c r="C182" s="19" t="s">
        <v>29</v>
      </c>
      <c r="D182" s="19" t="s">
        <v>35</v>
      </c>
      <c r="E182" s="19" t="s">
        <v>468</v>
      </c>
      <c r="F182" s="23">
        <v>457.1136934673367</v>
      </c>
      <c r="G182" s="24">
        <v>30235</v>
      </c>
      <c r="H182" s="24" t="s">
        <v>232</v>
      </c>
      <c r="I182" s="23" t="s">
        <v>232</v>
      </c>
      <c r="J182" s="24" t="e">
        <f t="shared" si="24"/>
        <v>#VALUE!</v>
      </c>
      <c r="K182" s="36">
        <f t="shared" si="26"/>
        <v>0</v>
      </c>
      <c r="L182" s="23" t="s">
        <v>232</v>
      </c>
      <c r="M182" s="24" t="e">
        <f t="shared" si="25"/>
        <v>#VALUE!</v>
      </c>
      <c r="N182" s="19" t="e">
        <f t="shared" si="27"/>
        <v>#VALUE!</v>
      </c>
      <c r="O182" s="24" t="e">
        <f t="shared" si="28"/>
        <v>#VALUE!</v>
      </c>
      <c r="P182" s="24" t="e">
        <f t="shared" si="29"/>
        <v>#VALUE!</v>
      </c>
      <c r="Q182" s="24" t="e">
        <f t="shared" si="30"/>
        <v>#VALUE!</v>
      </c>
      <c r="R182" s="36">
        <f t="shared" si="31"/>
        <v>0</v>
      </c>
      <c r="S182" s="23" t="s">
        <v>232</v>
      </c>
      <c r="T182" s="24" t="e">
        <f t="shared" si="32"/>
        <v>#VALUE!</v>
      </c>
      <c r="U182" s="23" t="e">
        <f t="shared" si="33"/>
        <v>#VALUE!</v>
      </c>
      <c r="V182" s="23" t="e">
        <f t="shared" si="34"/>
        <v>#VALUE!</v>
      </c>
      <c r="W182" s="23" t="e">
        <f t="shared" si="35"/>
        <v>#VALUE!</v>
      </c>
    </row>
    <row r="183" spans="1:23" ht="15" customHeight="1" x14ac:dyDescent="0.25">
      <c r="A183" s="19" t="s">
        <v>387</v>
      </c>
      <c r="B183" s="19" t="s">
        <v>388</v>
      </c>
      <c r="C183" s="19" t="s">
        <v>18</v>
      </c>
      <c r="D183" s="19" t="s">
        <v>35</v>
      </c>
      <c r="E183" s="19" t="s">
        <v>468</v>
      </c>
      <c r="F183" s="23">
        <v>457.1136934673367</v>
      </c>
      <c r="G183" s="24">
        <v>109316</v>
      </c>
      <c r="H183" s="24">
        <v>110012</v>
      </c>
      <c r="I183" s="19">
        <v>95.1</v>
      </c>
      <c r="J183" s="24">
        <f t="shared" si="24"/>
        <v>5390.5880000000052</v>
      </c>
      <c r="K183" s="36">
        <f t="shared" si="26"/>
        <v>5390.5880000000052</v>
      </c>
      <c r="L183" s="23">
        <v>457.1136934673367</v>
      </c>
      <c r="M183" s="24">
        <f t="shared" si="25"/>
        <v>2464111.590640706</v>
      </c>
      <c r="N183" s="19">
        <f t="shared" si="27"/>
        <v>1.8630000000000001E-2</v>
      </c>
      <c r="O183" s="24">
        <f t="shared" si="28"/>
        <v>45906.398933636352</v>
      </c>
      <c r="P183" s="24">
        <f t="shared" si="29"/>
        <v>68859.598400454532</v>
      </c>
      <c r="Q183" s="24">
        <f t="shared" si="30"/>
        <v>2532971.1890411605</v>
      </c>
      <c r="R183" s="36">
        <f t="shared" si="31"/>
        <v>2532971.1890411605</v>
      </c>
      <c r="S183" s="24">
        <v>486293.25308693683</v>
      </c>
      <c r="T183" s="24">
        <f t="shared" si="32"/>
        <v>7294398.7963040527</v>
      </c>
      <c r="U183" s="23">
        <f t="shared" si="33"/>
        <v>0.34724879455789748</v>
      </c>
      <c r="V183" s="23">
        <f t="shared" si="34"/>
        <v>0.11574959818596584</v>
      </c>
      <c r="W183" s="23">
        <f t="shared" si="35"/>
        <v>1.0417463836736924</v>
      </c>
    </row>
    <row r="184" spans="1:23" ht="15" customHeight="1" x14ac:dyDescent="0.25">
      <c r="A184" s="19" t="s">
        <v>389</v>
      </c>
      <c r="B184" s="19" t="s">
        <v>390</v>
      </c>
      <c r="C184" s="19" t="s">
        <v>40</v>
      </c>
      <c r="D184" s="19" t="s">
        <v>32</v>
      </c>
      <c r="E184" s="19" t="s">
        <v>467</v>
      </c>
      <c r="F184" s="23">
        <v>68.964152792292879</v>
      </c>
      <c r="G184" s="24">
        <v>35652002</v>
      </c>
      <c r="H184" s="24">
        <v>55077835</v>
      </c>
      <c r="I184" s="19">
        <v>54.9</v>
      </c>
      <c r="J184" s="24">
        <f t="shared" si="24"/>
        <v>24840103.585000005</v>
      </c>
      <c r="K184" s="36">
        <f t="shared" si="26"/>
        <v>24840103.585000005</v>
      </c>
      <c r="L184" s="23">
        <v>106.13249776186213</v>
      </c>
      <c r="M184" s="24">
        <f t="shared" si="25"/>
        <v>2636342238.1394362</v>
      </c>
      <c r="N184" s="19">
        <f t="shared" si="27"/>
        <v>1.8630000000000001E-2</v>
      </c>
      <c r="O184" s="24">
        <f t="shared" si="28"/>
        <v>49115055.896537699</v>
      </c>
      <c r="P184" s="24">
        <f t="shared" si="29"/>
        <v>73672583.844806537</v>
      </c>
      <c r="Q184" s="24">
        <f t="shared" si="30"/>
        <v>2710014821.9842429</v>
      </c>
      <c r="R184" s="36">
        <f t="shared" si="31"/>
        <v>2710014821.9842429</v>
      </c>
      <c r="S184" s="24">
        <v>11997149674.977474</v>
      </c>
      <c r="T184" s="24">
        <f t="shared" si="32"/>
        <v>179957245124.66211</v>
      </c>
      <c r="U184" s="23">
        <f t="shared" si="33"/>
        <v>1.5059214871326405E-2</v>
      </c>
      <c r="V184" s="23">
        <f t="shared" si="34"/>
        <v>5.0197382904421349E-3</v>
      </c>
      <c r="W184" s="23">
        <f t="shared" si="35"/>
        <v>4.5177644613979211E-2</v>
      </c>
    </row>
    <row r="185" spans="1:23" ht="15" customHeight="1" x14ac:dyDescent="0.25">
      <c r="A185" s="19" t="s">
        <v>391</v>
      </c>
      <c r="B185" s="19" t="s">
        <v>392</v>
      </c>
      <c r="C185" s="19" t="s">
        <v>18</v>
      </c>
      <c r="D185" s="19" t="s">
        <v>35</v>
      </c>
      <c r="E185" s="19" t="s">
        <v>468</v>
      </c>
      <c r="F185" s="23">
        <v>457.1136934673367</v>
      </c>
      <c r="G185" s="24">
        <v>524960</v>
      </c>
      <c r="H185" s="24">
        <v>603805</v>
      </c>
      <c r="I185" s="19">
        <v>94.3</v>
      </c>
      <c r="J185" s="24">
        <f t="shared" si="24"/>
        <v>34416.885000000031</v>
      </c>
      <c r="K185" s="36">
        <f t="shared" si="26"/>
        <v>34416.885000000031</v>
      </c>
      <c r="L185" s="23">
        <v>406.77966101694915</v>
      </c>
      <c r="M185" s="24">
        <f t="shared" si="25"/>
        <v>14000088.813559335</v>
      </c>
      <c r="N185" s="19">
        <f t="shared" si="27"/>
        <v>1.8630000000000001E-2</v>
      </c>
      <c r="O185" s="24">
        <f t="shared" si="28"/>
        <v>260821.6545966104</v>
      </c>
      <c r="P185" s="24">
        <f t="shared" si="29"/>
        <v>391232.48189491557</v>
      </c>
      <c r="Q185" s="24">
        <f t="shared" si="30"/>
        <v>14391321.295454251</v>
      </c>
      <c r="R185" s="36">
        <f t="shared" si="31"/>
        <v>14391321.295454251</v>
      </c>
      <c r="S185" s="24">
        <v>608902361.97083366</v>
      </c>
      <c r="T185" s="24">
        <f t="shared" si="32"/>
        <v>9133535429.5625057</v>
      </c>
      <c r="U185" s="23">
        <f t="shared" si="33"/>
        <v>1.5756572475619764E-3</v>
      </c>
      <c r="V185" s="23">
        <f t="shared" si="34"/>
        <v>5.2521908252065876E-4</v>
      </c>
      <c r="W185" s="23">
        <f t="shared" si="35"/>
        <v>4.7269717426859292E-3</v>
      </c>
    </row>
    <row r="186" spans="1:23" ht="15" customHeight="1" x14ac:dyDescent="0.25">
      <c r="A186" s="19" t="s">
        <v>393</v>
      </c>
      <c r="B186" s="19" t="s">
        <v>394</v>
      </c>
      <c r="C186" s="19" t="s">
        <v>40</v>
      </c>
      <c r="D186" s="19" t="s">
        <v>32</v>
      </c>
      <c r="E186" s="19" t="s">
        <v>467</v>
      </c>
      <c r="F186" s="23">
        <v>68.964152792292879</v>
      </c>
      <c r="G186" s="24">
        <v>1193148</v>
      </c>
      <c r="H186" s="24">
        <v>1515527</v>
      </c>
      <c r="I186" s="19">
        <v>70.3</v>
      </c>
      <c r="J186" s="24">
        <f t="shared" si="24"/>
        <v>450111.51900000009</v>
      </c>
      <c r="K186" s="36">
        <f t="shared" si="26"/>
        <v>450111.51900000009</v>
      </c>
      <c r="L186" s="23">
        <v>234.74178403755869</v>
      </c>
      <c r="M186" s="24">
        <f t="shared" si="25"/>
        <v>105659980.98591551</v>
      </c>
      <c r="N186" s="19">
        <f t="shared" si="27"/>
        <v>1.8630000000000001E-2</v>
      </c>
      <c r="O186" s="24">
        <f t="shared" si="28"/>
        <v>1968445.4457676061</v>
      </c>
      <c r="P186" s="24">
        <f t="shared" si="29"/>
        <v>2952668.1686514094</v>
      </c>
      <c r="Q186" s="24">
        <f t="shared" si="30"/>
        <v>108612649.15456691</v>
      </c>
      <c r="R186" s="36">
        <f t="shared" si="31"/>
        <v>108612649.15456691</v>
      </c>
      <c r="S186" s="24">
        <v>92945139.393425897</v>
      </c>
      <c r="T186" s="24">
        <f t="shared" si="32"/>
        <v>1394177090.9013884</v>
      </c>
      <c r="U186" s="23">
        <f t="shared" si="33"/>
        <v>7.7904485637721038E-2</v>
      </c>
      <c r="V186" s="23">
        <f t="shared" si="34"/>
        <v>2.5968161879240344E-2</v>
      </c>
      <c r="W186" s="23">
        <f t="shared" si="35"/>
        <v>0.23371345691316314</v>
      </c>
    </row>
    <row r="187" spans="1:23" ht="15" customHeight="1" x14ac:dyDescent="0.25">
      <c r="A187" s="19" t="s">
        <v>395</v>
      </c>
      <c r="B187" s="19" t="s">
        <v>396</v>
      </c>
      <c r="C187" s="19" t="s">
        <v>45</v>
      </c>
      <c r="D187" s="19" t="s">
        <v>19</v>
      </c>
      <c r="E187" s="19" t="s">
        <v>232</v>
      </c>
      <c r="F187" s="23" t="s">
        <v>232</v>
      </c>
      <c r="G187" s="24">
        <v>9378126</v>
      </c>
      <c r="H187" s="24">
        <v>10690986</v>
      </c>
      <c r="I187" s="19">
        <v>100</v>
      </c>
      <c r="J187" s="24">
        <f t="shared" si="24"/>
        <v>0</v>
      </c>
      <c r="K187" s="36">
        <f t="shared" si="26"/>
        <v>0</v>
      </c>
      <c r="L187" s="23" t="s">
        <v>232</v>
      </c>
      <c r="M187" s="24" t="e">
        <f t="shared" si="25"/>
        <v>#VALUE!</v>
      </c>
      <c r="N187" s="19" t="e">
        <f t="shared" si="27"/>
        <v>#VALUE!</v>
      </c>
      <c r="O187" s="24" t="e">
        <f t="shared" si="28"/>
        <v>#VALUE!</v>
      </c>
      <c r="P187" s="24" t="e">
        <f t="shared" si="29"/>
        <v>#VALUE!</v>
      </c>
      <c r="Q187" s="24" t="e">
        <f t="shared" si="30"/>
        <v>#VALUE!</v>
      </c>
      <c r="R187" s="36">
        <f t="shared" si="31"/>
        <v>0</v>
      </c>
      <c r="S187" s="24">
        <v>6600024142.4592056</v>
      </c>
      <c r="T187" s="24">
        <f t="shared" si="32"/>
        <v>99000362136.888092</v>
      </c>
      <c r="U187" s="23" t="e">
        <f t="shared" si="33"/>
        <v>#VALUE!</v>
      </c>
      <c r="V187" s="23" t="e">
        <f t="shared" si="34"/>
        <v>#VALUE!</v>
      </c>
      <c r="W187" s="23" t="e">
        <f t="shared" si="35"/>
        <v>#VALUE!</v>
      </c>
    </row>
    <row r="188" spans="1:23" ht="15" customHeight="1" x14ac:dyDescent="0.25">
      <c r="A188" s="19" t="s">
        <v>397</v>
      </c>
      <c r="B188" s="19" t="s">
        <v>398</v>
      </c>
      <c r="C188" s="19" t="s">
        <v>45</v>
      </c>
      <c r="D188" s="19" t="s">
        <v>19</v>
      </c>
      <c r="E188" s="19" t="s">
        <v>232</v>
      </c>
      <c r="F188" s="23" t="s">
        <v>232</v>
      </c>
      <c r="G188" s="24">
        <v>7824909</v>
      </c>
      <c r="H188" s="24">
        <v>9477452</v>
      </c>
      <c r="I188" s="19">
        <v>100</v>
      </c>
      <c r="J188" s="24">
        <f t="shared" si="24"/>
        <v>0</v>
      </c>
      <c r="K188" s="36">
        <f t="shared" si="26"/>
        <v>0</v>
      </c>
      <c r="L188" s="23" t="s">
        <v>232</v>
      </c>
      <c r="M188" s="24" t="e">
        <f t="shared" si="25"/>
        <v>#VALUE!</v>
      </c>
      <c r="N188" s="19" t="e">
        <f t="shared" si="27"/>
        <v>#VALUE!</v>
      </c>
      <c r="O188" s="24" t="e">
        <f t="shared" si="28"/>
        <v>#VALUE!</v>
      </c>
      <c r="P188" s="24" t="e">
        <f t="shared" si="29"/>
        <v>#VALUE!</v>
      </c>
      <c r="Q188" s="24" t="e">
        <f t="shared" si="30"/>
        <v>#VALUE!</v>
      </c>
      <c r="R188" s="36">
        <f t="shared" si="31"/>
        <v>0</v>
      </c>
      <c r="S188" s="24">
        <v>278578079.29358196</v>
      </c>
      <c r="T188" s="24">
        <f t="shared" si="32"/>
        <v>4178671189.4037294</v>
      </c>
      <c r="U188" s="23" t="e">
        <f t="shared" si="33"/>
        <v>#VALUE!</v>
      </c>
      <c r="V188" s="23" t="e">
        <f t="shared" si="34"/>
        <v>#VALUE!</v>
      </c>
      <c r="W188" s="23" t="e">
        <f t="shared" si="35"/>
        <v>#VALUE!</v>
      </c>
    </row>
    <row r="189" spans="1:23" ht="15" customHeight="1" x14ac:dyDescent="0.25">
      <c r="A189" s="19" t="s">
        <v>399</v>
      </c>
      <c r="B189" s="19" t="s">
        <v>400</v>
      </c>
      <c r="C189" s="19" t="s">
        <v>40</v>
      </c>
      <c r="D189" s="19" t="s">
        <v>22</v>
      </c>
      <c r="E189" s="19" t="s">
        <v>474</v>
      </c>
      <c r="F189" s="23">
        <v>463.55505996404435</v>
      </c>
      <c r="G189" s="24">
        <v>21532647</v>
      </c>
      <c r="H189" s="24">
        <v>29933865</v>
      </c>
      <c r="I189" s="19">
        <v>89.7</v>
      </c>
      <c r="J189" s="24">
        <f t="shared" si="24"/>
        <v>3083188.0949999993</v>
      </c>
      <c r="K189" s="36">
        <f t="shared" si="26"/>
        <v>3083188.0949999993</v>
      </c>
      <c r="L189" s="23">
        <v>463.55505996404435</v>
      </c>
      <c r="M189" s="24">
        <f t="shared" si="25"/>
        <v>1429227442.2581522</v>
      </c>
      <c r="N189" s="19">
        <f t="shared" si="27"/>
        <v>1.8630000000000001E-2</v>
      </c>
      <c r="O189" s="24">
        <f t="shared" si="28"/>
        <v>26626507.249269377</v>
      </c>
      <c r="P189" s="24">
        <f t="shared" si="29"/>
        <v>39939760.873904064</v>
      </c>
      <c r="Q189" s="24">
        <f t="shared" si="30"/>
        <v>1469167203.1320562</v>
      </c>
      <c r="R189" s="36">
        <f t="shared" si="31"/>
        <v>1469167203.1320562</v>
      </c>
      <c r="S189" s="23" t="s">
        <v>232</v>
      </c>
      <c r="T189" s="24" t="e">
        <f t="shared" si="32"/>
        <v>#VALUE!</v>
      </c>
      <c r="U189" s="23" t="e">
        <f t="shared" si="33"/>
        <v>#VALUE!</v>
      </c>
      <c r="V189" s="23" t="e">
        <f t="shared" si="34"/>
        <v>#VALUE!</v>
      </c>
      <c r="W189" s="23" t="e">
        <f t="shared" si="35"/>
        <v>#VALUE!</v>
      </c>
    </row>
    <row r="190" spans="1:23" ht="15" customHeight="1" x14ac:dyDescent="0.25">
      <c r="A190" s="19" t="s">
        <v>401</v>
      </c>
      <c r="B190" s="19" t="s">
        <v>402</v>
      </c>
      <c r="C190" s="19" t="s">
        <v>14</v>
      </c>
      <c r="D190" s="19" t="s">
        <v>19</v>
      </c>
      <c r="E190" s="19" t="s">
        <v>469</v>
      </c>
      <c r="F190" s="23">
        <v>270.56505523889945</v>
      </c>
      <c r="G190" s="24">
        <v>7627326</v>
      </c>
      <c r="H190" s="24">
        <v>11407028</v>
      </c>
      <c r="I190" s="19">
        <v>69.7</v>
      </c>
      <c r="J190" s="24">
        <f t="shared" si="24"/>
        <v>3456329.4839999992</v>
      </c>
      <c r="K190" s="36">
        <f t="shared" si="26"/>
        <v>3456329.4839999992</v>
      </c>
      <c r="L190" s="23">
        <v>203.28478462968701</v>
      </c>
      <c r="M190" s="24">
        <f t="shared" si="25"/>
        <v>702619194.76417708</v>
      </c>
      <c r="N190" s="19">
        <f t="shared" si="27"/>
        <v>1.8630000000000001E-2</v>
      </c>
      <c r="O190" s="24">
        <f t="shared" si="28"/>
        <v>13089795.598456619</v>
      </c>
      <c r="P190" s="24">
        <f t="shared" si="29"/>
        <v>19634693.397684928</v>
      </c>
      <c r="Q190" s="24">
        <f t="shared" si="30"/>
        <v>722253888.16186202</v>
      </c>
      <c r="R190" s="36">
        <f t="shared" si="31"/>
        <v>722253888.16186202</v>
      </c>
      <c r="S190" s="24">
        <v>89930664.353367537</v>
      </c>
      <c r="T190" s="24">
        <f t="shared" si="32"/>
        <v>1348959965.300513</v>
      </c>
      <c r="U190" s="23">
        <f t="shared" si="33"/>
        <v>0.53541536201258777</v>
      </c>
      <c r="V190" s="23">
        <f t="shared" si="34"/>
        <v>0.17847178733752928</v>
      </c>
      <c r="W190" s="23">
        <f t="shared" si="35"/>
        <v>1.6062460860377634</v>
      </c>
    </row>
    <row r="191" spans="1:23" ht="15" customHeight="1" x14ac:dyDescent="0.25">
      <c r="A191" s="19" t="s">
        <v>403</v>
      </c>
      <c r="B191" s="19" t="s">
        <v>404</v>
      </c>
      <c r="C191" s="19" t="s">
        <v>14</v>
      </c>
      <c r="D191" s="19" t="s">
        <v>32</v>
      </c>
      <c r="E191" s="19" t="s">
        <v>467</v>
      </c>
      <c r="F191" s="23">
        <v>68.964152792292879</v>
      </c>
      <c r="G191" s="24">
        <v>44973330</v>
      </c>
      <c r="H191" s="24">
        <v>79354326</v>
      </c>
      <c r="I191" s="19">
        <v>53.4</v>
      </c>
      <c r="J191" s="24">
        <f t="shared" si="24"/>
        <v>36979115.916000001</v>
      </c>
      <c r="K191" s="36">
        <f t="shared" si="26"/>
        <v>36979115.916000001</v>
      </c>
      <c r="L191" s="23">
        <v>68.964152792292879</v>
      </c>
      <c r="M191" s="24">
        <f t="shared" si="25"/>
        <v>2550233400.1549335</v>
      </c>
      <c r="N191" s="19">
        <f t="shared" si="27"/>
        <v>1.8630000000000001E-2</v>
      </c>
      <c r="O191" s="24">
        <f t="shared" si="28"/>
        <v>47510848.244886413</v>
      </c>
      <c r="P191" s="24">
        <f t="shared" si="29"/>
        <v>71266272.367329627</v>
      </c>
      <c r="Q191" s="24">
        <f t="shared" si="30"/>
        <v>2621499672.5222631</v>
      </c>
      <c r="R191" s="36">
        <f t="shared" si="31"/>
        <v>2621499672.5222631</v>
      </c>
      <c r="S191" s="24">
        <v>2569147998.6777964</v>
      </c>
      <c r="T191" s="24">
        <f t="shared" si="32"/>
        <v>38537219980.166946</v>
      </c>
      <c r="U191" s="23">
        <f t="shared" si="33"/>
        <v>6.8025137097886393E-2</v>
      </c>
      <c r="V191" s="23">
        <f t="shared" si="34"/>
        <v>2.2675045699295463E-2</v>
      </c>
      <c r="W191" s="23">
        <f t="shared" si="35"/>
        <v>0.20407541129365916</v>
      </c>
    </row>
    <row r="192" spans="1:23" ht="15" customHeight="1" x14ac:dyDescent="0.25">
      <c r="A192" s="19" t="s">
        <v>405</v>
      </c>
      <c r="B192" s="19" t="s">
        <v>406</v>
      </c>
      <c r="C192" s="19" t="s">
        <v>18</v>
      </c>
      <c r="D192" s="19" t="s">
        <v>26</v>
      </c>
      <c r="E192" s="19" t="s">
        <v>471</v>
      </c>
      <c r="F192" s="23">
        <v>286.39139284675775</v>
      </c>
      <c r="G192" s="24">
        <v>66402316</v>
      </c>
      <c r="H192" s="24">
        <v>67554088</v>
      </c>
      <c r="I192" s="19">
        <v>95.8</v>
      </c>
      <c r="J192" s="24">
        <f t="shared" si="24"/>
        <v>2837271.6960000023</v>
      </c>
      <c r="K192" s="36">
        <f t="shared" si="26"/>
        <v>2837271.6960000023</v>
      </c>
      <c r="L192" s="23">
        <v>264.38962681846931</v>
      </c>
      <c r="M192" s="24">
        <f t="shared" si="25"/>
        <v>750145204.88804615</v>
      </c>
      <c r="N192" s="19">
        <f t="shared" si="27"/>
        <v>1.8630000000000001E-2</v>
      </c>
      <c r="O192" s="24">
        <f t="shared" si="28"/>
        <v>13975205.1670643</v>
      </c>
      <c r="P192" s="24">
        <f t="shared" si="29"/>
        <v>20962807.750596449</v>
      </c>
      <c r="Q192" s="24">
        <f t="shared" si="30"/>
        <v>771108012.63864255</v>
      </c>
      <c r="R192" s="36">
        <f t="shared" si="31"/>
        <v>771108012.63864255</v>
      </c>
      <c r="S192" s="24">
        <v>13671322551.946495</v>
      </c>
      <c r="T192" s="24">
        <f t="shared" si="32"/>
        <v>205069838279.19742</v>
      </c>
      <c r="U192" s="23">
        <f t="shared" si="33"/>
        <v>3.7602214889778107E-3</v>
      </c>
      <c r="V192" s="23">
        <f t="shared" si="34"/>
        <v>1.2534071629926036E-3</v>
      </c>
      <c r="W192" s="23">
        <f t="shared" si="35"/>
        <v>1.1280664466933434E-2</v>
      </c>
    </row>
    <row r="193" spans="1:23" ht="15" customHeight="1" x14ac:dyDescent="0.25">
      <c r="A193" s="19" t="s">
        <v>407</v>
      </c>
      <c r="B193" s="19" t="s">
        <v>408</v>
      </c>
      <c r="C193" s="19" t="s">
        <v>40</v>
      </c>
      <c r="D193" s="19" t="s">
        <v>26</v>
      </c>
      <c r="E193" s="19" t="s">
        <v>471</v>
      </c>
      <c r="F193" s="23">
        <v>286.39139284675775</v>
      </c>
      <c r="G193" s="24">
        <v>1142502</v>
      </c>
      <c r="H193" s="24">
        <v>1555457</v>
      </c>
      <c r="I193" s="19">
        <v>67.7</v>
      </c>
      <c r="J193" s="24">
        <f t="shared" si="24"/>
        <v>502412.61099999992</v>
      </c>
      <c r="K193" s="36">
        <f t="shared" si="26"/>
        <v>502412.61099999992</v>
      </c>
      <c r="L193" s="23">
        <v>163.79310344827587</v>
      </c>
      <c r="M193" s="24">
        <f t="shared" si="25"/>
        <v>82291720.767241374</v>
      </c>
      <c r="N193" s="19">
        <f t="shared" si="27"/>
        <v>1.8630000000000001E-2</v>
      </c>
      <c r="O193" s="24">
        <f t="shared" si="28"/>
        <v>1533094.7578937069</v>
      </c>
      <c r="P193" s="24">
        <f t="shared" si="29"/>
        <v>2299642.1368405605</v>
      </c>
      <c r="Q193" s="24">
        <f t="shared" si="30"/>
        <v>84591362.904081941</v>
      </c>
      <c r="R193" s="36">
        <f t="shared" si="31"/>
        <v>84591362.904081941</v>
      </c>
      <c r="S193" s="24">
        <v>6029932.4922673218</v>
      </c>
      <c r="T193" s="24">
        <f t="shared" si="32"/>
        <v>90448987.384009823</v>
      </c>
      <c r="U193" s="23">
        <f t="shared" si="33"/>
        <v>0.93523836308903296</v>
      </c>
      <c r="V193" s="23">
        <f t="shared" si="34"/>
        <v>0.31174612102967769</v>
      </c>
      <c r="W193" s="23">
        <f t="shared" si="35"/>
        <v>2.8057150892670988</v>
      </c>
    </row>
    <row r="194" spans="1:23" ht="15" customHeight="1" x14ac:dyDescent="0.25">
      <c r="A194" s="19" t="s">
        <v>409</v>
      </c>
      <c r="B194" s="19" t="s">
        <v>410</v>
      </c>
      <c r="C194" s="19" t="s">
        <v>14</v>
      </c>
      <c r="D194" s="19" t="s">
        <v>32</v>
      </c>
      <c r="E194" s="19" t="s">
        <v>467</v>
      </c>
      <c r="F194" s="23">
        <v>68.964152792292879</v>
      </c>
      <c r="G194" s="24">
        <v>6306014</v>
      </c>
      <c r="H194" s="24">
        <v>10014965</v>
      </c>
      <c r="I194" s="19">
        <v>58.8</v>
      </c>
      <c r="J194" s="24">
        <f t="shared" si="24"/>
        <v>4126165.5800000005</v>
      </c>
      <c r="K194" s="36">
        <f t="shared" si="26"/>
        <v>4126165.5800000005</v>
      </c>
      <c r="L194" s="23">
        <v>41.135573580533027</v>
      </c>
      <c r="M194" s="24">
        <f t="shared" si="25"/>
        <v>169732187.82155275</v>
      </c>
      <c r="N194" s="19">
        <f t="shared" si="27"/>
        <v>1.8630000000000001E-2</v>
      </c>
      <c r="O194" s="24">
        <f t="shared" si="28"/>
        <v>3162110.6591155278</v>
      </c>
      <c r="P194" s="24">
        <f t="shared" si="29"/>
        <v>4743165.9886732912</v>
      </c>
      <c r="Q194" s="24">
        <f t="shared" si="30"/>
        <v>174475353.81022605</v>
      </c>
      <c r="R194" s="36">
        <f t="shared" si="31"/>
        <v>174475353.81022605</v>
      </c>
      <c r="S194" s="24">
        <v>289914233.93356359</v>
      </c>
      <c r="T194" s="24">
        <f t="shared" si="32"/>
        <v>4348713509.0034542</v>
      </c>
      <c r="U194" s="23">
        <f t="shared" si="33"/>
        <v>4.0121142367506434E-2</v>
      </c>
      <c r="V194" s="23">
        <f t="shared" si="34"/>
        <v>1.3373714122502144E-2</v>
      </c>
      <c r="W194" s="23">
        <f t="shared" si="35"/>
        <v>0.12036342710251929</v>
      </c>
    </row>
    <row r="195" spans="1:23" ht="15" customHeight="1" x14ac:dyDescent="0.25">
      <c r="A195" s="19" t="s">
        <v>411</v>
      </c>
      <c r="B195" s="19" t="s">
        <v>412</v>
      </c>
      <c r="C195" s="19" t="s">
        <v>18</v>
      </c>
      <c r="D195" s="19" t="s">
        <v>26</v>
      </c>
      <c r="E195" s="19" t="s">
        <v>473</v>
      </c>
      <c r="F195" s="23">
        <v>162.92664529511597</v>
      </c>
      <c r="G195" s="24">
        <v>104098</v>
      </c>
      <c r="H195" s="24">
        <v>120995</v>
      </c>
      <c r="I195" s="19">
        <v>99.2</v>
      </c>
      <c r="J195" s="24">
        <f t="shared" ref="J195:J212" si="36">(1-(I195/100))*H195</f>
        <v>967.96000000000083</v>
      </c>
      <c r="K195" s="36">
        <f t="shared" si="26"/>
        <v>967.96000000000083</v>
      </c>
      <c r="L195" s="23">
        <v>500</v>
      </c>
      <c r="M195" s="24">
        <f t="shared" ref="M195:M216" si="37">J195*L195</f>
        <v>483980.00000000041</v>
      </c>
      <c r="N195" s="19">
        <f t="shared" si="27"/>
        <v>1.8630000000000001E-2</v>
      </c>
      <c r="O195" s="24">
        <f t="shared" si="28"/>
        <v>9016.5474000000086</v>
      </c>
      <c r="P195" s="24">
        <f t="shared" si="29"/>
        <v>13524.821100000012</v>
      </c>
      <c r="Q195" s="24">
        <f t="shared" si="30"/>
        <v>497504.82110000041</v>
      </c>
      <c r="R195" s="36">
        <f t="shared" si="31"/>
        <v>497504.82110000041</v>
      </c>
      <c r="S195" s="24">
        <v>258294.04268454493</v>
      </c>
      <c r="T195" s="24">
        <f t="shared" si="32"/>
        <v>3874410.640268174</v>
      </c>
      <c r="U195" s="23">
        <f t="shared" si="33"/>
        <v>0.12840787084601976</v>
      </c>
      <c r="V195" s="23">
        <f t="shared" si="34"/>
        <v>4.2802623615339916E-2</v>
      </c>
      <c r="W195" s="23">
        <f t="shared" si="35"/>
        <v>0.38522361253805931</v>
      </c>
    </row>
    <row r="196" spans="1:23" ht="15" customHeight="1" x14ac:dyDescent="0.25">
      <c r="A196" s="19" t="s">
        <v>413</v>
      </c>
      <c r="B196" s="19" t="s">
        <v>414</v>
      </c>
      <c r="C196" s="19" t="s">
        <v>29</v>
      </c>
      <c r="D196" s="19" t="s">
        <v>35</v>
      </c>
      <c r="E196" s="19" t="s">
        <v>468</v>
      </c>
      <c r="F196" s="23">
        <v>457.1136934673367</v>
      </c>
      <c r="G196" s="24">
        <v>1328095</v>
      </c>
      <c r="H196" s="24">
        <v>1307826</v>
      </c>
      <c r="I196" s="19">
        <v>93.6</v>
      </c>
      <c r="J196" s="24">
        <f t="shared" si="36"/>
        <v>83700.864000000074</v>
      </c>
      <c r="K196" s="36">
        <f t="shared" ref="K196:K216" si="38">IFERROR(J196,0)</f>
        <v>83700.864000000074</v>
      </c>
      <c r="L196" s="23">
        <v>457.1136934673367</v>
      </c>
      <c r="M196" s="24">
        <f t="shared" si="37"/>
        <v>38260811.089447275</v>
      </c>
      <c r="N196" s="19">
        <f t="shared" ref="N196:N216" si="39">O196/M196</f>
        <v>1.8630000000000001E-2</v>
      </c>
      <c r="O196" s="24">
        <f t="shared" ref="O196:O216" si="40">M196*0.01863</f>
        <v>712798.91059640271</v>
      </c>
      <c r="P196" s="24">
        <f t="shared" ref="P196:P216" si="41">(O196/5)*7.5</f>
        <v>1069198.365894604</v>
      </c>
      <c r="Q196" s="24">
        <f t="shared" ref="Q196:Q216" si="42">M196+P196</f>
        <v>39330009.455341876</v>
      </c>
      <c r="R196" s="36">
        <f t="shared" ref="R196:R216" si="43">IFERROR(Q196,0)</f>
        <v>39330009.455341876</v>
      </c>
      <c r="S196" s="24">
        <v>8121778589.9499531</v>
      </c>
      <c r="T196" s="24">
        <f t="shared" ref="T196:T216" si="44">S196*15</f>
        <v>121826678849.2493</v>
      </c>
      <c r="U196" s="23">
        <f t="shared" ref="U196:U216" si="45">Q196/T196</f>
        <v>3.2283576821469124E-4</v>
      </c>
      <c r="V196" s="23">
        <f t="shared" ref="V196:V216" si="46">(Q196/2)/(T196*1.5)</f>
        <v>1.0761192273823041E-4</v>
      </c>
      <c r="W196" s="23">
        <f t="shared" ref="W196:W216" si="47">(Q196*1.5)/(T196/2)</f>
        <v>9.6850730464407371E-4</v>
      </c>
    </row>
    <row r="197" spans="1:23" ht="15" customHeight="1" x14ac:dyDescent="0.25">
      <c r="A197" s="19" t="s">
        <v>415</v>
      </c>
      <c r="B197" s="19" t="s">
        <v>416</v>
      </c>
      <c r="C197" s="19" t="s">
        <v>18</v>
      </c>
      <c r="D197" s="19" t="s">
        <v>22</v>
      </c>
      <c r="E197" s="19" t="s">
        <v>466</v>
      </c>
      <c r="F197" s="23">
        <v>412.83830673143649</v>
      </c>
      <c r="G197" s="24">
        <v>10549100</v>
      </c>
      <c r="H197" s="24">
        <v>12561225</v>
      </c>
      <c r="I197" s="19">
        <v>95.9</v>
      </c>
      <c r="J197" s="24">
        <f t="shared" si="36"/>
        <v>515010.22499999905</v>
      </c>
      <c r="K197" s="36">
        <f t="shared" si="38"/>
        <v>515010.22499999905</v>
      </c>
      <c r="L197" s="23">
        <v>396.64218258132212</v>
      </c>
      <c r="M197" s="24">
        <f t="shared" si="37"/>
        <v>204274779.6956974</v>
      </c>
      <c r="N197" s="19">
        <f t="shared" si="39"/>
        <v>1.8630000000000001E-2</v>
      </c>
      <c r="O197" s="24">
        <f t="shared" si="40"/>
        <v>3805639.1457308428</v>
      </c>
      <c r="P197" s="24">
        <f t="shared" si="41"/>
        <v>5708458.7185962638</v>
      </c>
      <c r="Q197" s="24">
        <f t="shared" si="42"/>
        <v>209983238.41429365</v>
      </c>
      <c r="R197" s="36">
        <f t="shared" si="43"/>
        <v>209983238.41429365</v>
      </c>
      <c r="S197" s="24">
        <v>2923132889.5717616</v>
      </c>
      <c r="T197" s="24">
        <f t="shared" si="44"/>
        <v>43846993343.576424</v>
      </c>
      <c r="U197" s="23">
        <f t="shared" si="45"/>
        <v>4.7889997101718297E-3</v>
      </c>
      <c r="V197" s="23">
        <f t="shared" si="46"/>
        <v>1.5963332367239433E-3</v>
      </c>
      <c r="W197" s="23">
        <f t="shared" si="47"/>
        <v>1.4366999130515489E-2</v>
      </c>
    </row>
    <row r="198" spans="1:23" ht="15" customHeight="1" x14ac:dyDescent="0.25">
      <c r="A198" s="19" t="s">
        <v>417</v>
      </c>
      <c r="B198" s="19" t="s">
        <v>418</v>
      </c>
      <c r="C198" s="19" t="s">
        <v>18</v>
      </c>
      <c r="D198" s="19" t="s">
        <v>19</v>
      </c>
      <c r="E198" s="19" t="s">
        <v>474</v>
      </c>
      <c r="F198" s="23">
        <v>463.55505996404435</v>
      </c>
      <c r="G198" s="24">
        <v>72137546</v>
      </c>
      <c r="H198" s="24">
        <v>86825345</v>
      </c>
      <c r="I198" s="19">
        <v>99.6</v>
      </c>
      <c r="J198" s="24">
        <f t="shared" si="36"/>
        <v>347301.3800000003</v>
      </c>
      <c r="K198" s="36">
        <f t="shared" si="38"/>
        <v>347301.3800000003</v>
      </c>
      <c r="L198" s="23">
        <v>1011.7944397641112</v>
      </c>
      <c r="M198" s="24">
        <f t="shared" si="37"/>
        <v>351397605.20640302</v>
      </c>
      <c r="N198" s="19">
        <f t="shared" si="39"/>
        <v>1.8630000000000001E-2</v>
      </c>
      <c r="O198" s="24">
        <f t="shared" si="40"/>
        <v>6546537.3849952882</v>
      </c>
      <c r="P198" s="24">
        <f t="shared" si="41"/>
        <v>9819806.0774929319</v>
      </c>
      <c r="Q198" s="24">
        <f t="shared" si="42"/>
        <v>361217411.28389597</v>
      </c>
      <c r="R198" s="36">
        <f t="shared" si="43"/>
        <v>361217411.28389597</v>
      </c>
      <c r="S198" s="24">
        <v>4369682103.2413588</v>
      </c>
      <c r="T198" s="24">
        <f t="shared" si="44"/>
        <v>65545231548.620384</v>
      </c>
      <c r="U198" s="23">
        <f t="shared" si="45"/>
        <v>5.5109639976777076E-3</v>
      </c>
      <c r="V198" s="23">
        <f t="shared" si="46"/>
        <v>1.8369879992259025E-3</v>
      </c>
      <c r="W198" s="23">
        <f t="shared" si="47"/>
        <v>1.6532891993033122E-2</v>
      </c>
    </row>
    <row r="199" spans="1:23" ht="15" customHeight="1" x14ac:dyDescent="0.25">
      <c r="A199" s="19" t="s">
        <v>419</v>
      </c>
      <c r="B199" s="19" t="s">
        <v>420</v>
      </c>
      <c r="C199" s="19" t="s">
        <v>18</v>
      </c>
      <c r="D199" s="19" t="s">
        <v>19</v>
      </c>
      <c r="E199" s="19" t="s">
        <v>469</v>
      </c>
      <c r="F199" s="23">
        <v>270.56505523889945</v>
      </c>
      <c r="G199" s="24">
        <v>5041995</v>
      </c>
      <c r="H199" s="24">
        <v>6159875</v>
      </c>
      <c r="I199" s="19">
        <v>70.8</v>
      </c>
      <c r="J199" s="24">
        <f t="shared" si="36"/>
        <v>1798683.5000000002</v>
      </c>
      <c r="K199" s="36">
        <f t="shared" si="38"/>
        <v>1798683.5000000002</v>
      </c>
      <c r="L199" s="23">
        <v>296.84763572679509</v>
      </c>
      <c r="M199" s="24">
        <f t="shared" si="37"/>
        <v>533934944.3957969</v>
      </c>
      <c r="N199" s="19">
        <f t="shared" si="39"/>
        <v>1.8630000000000001E-2</v>
      </c>
      <c r="O199" s="24">
        <f t="shared" si="40"/>
        <v>9947208.0140936971</v>
      </c>
      <c r="P199" s="24">
        <f t="shared" si="41"/>
        <v>14920812.021140546</v>
      </c>
      <c r="Q199" s="24">
        <f t="shared" si="42"/>
        <v>548855756.41693747</v>
      </c>
      <c r="R199" s="36">
        <f t="shared" si="43"/>
        <v>548855756.41693747</v>
      </c>
      <c r="S199" s="24">
        <v>8829721321.8512516</v>
      </c>
      <c r="T199" s="24">
        <f t="shared" si="44"/>
        <v>132445819827.76877</v>
      </c>
      <c r="U199" s="23">
        <f t="shared" si="45"/>
        <v>4.1440021069042727E-3</v>
      </c>
      <c r="V199" s="23">
        <f t="shared" si="46"/>
        <v>1.3813340356347576E-3</v>
      </c>
      <c r="W199" s="23">
        <f t="shared" si="47"/>
        <v>1.243200632071282E-2</v>
      </c>
    </row>
    <row r="200" spans="1:23" ht="15" customHeight="1" x14ac:dyDescent="0.25">
      <c r="A200" s="19" t="s">
        <v>421</v>
      </c>
      <c r="B200" s="19" t="s">
        <v>422</v>
      </c>
      <c r="C200" s="19" t="s">
        <v>29</v>
      </c>
      <c r="D200" s="19" t="s">
        <v>35</v>
      </c>
      <c r="E200" s="19" t="s">
        <v>468</v>
      </c>
      <c r="F200" s="23">
        <v>457.1136934673367</v>
      </c>
      <c r="G200" s="24">
        <v>30993</v>
      </c>
      <c r="H200" s="24">
        <v>40698</v>
      </c>
      <c r="I200" s="23" t="s">
        <v>232</v>
      </c>
      <c r="J200" s="24" t="e">
        <f t="shared" si="36"/>
        <v>#VALUE!</v>
      </c>
      <c r="K200" s="36">
        <f t="shared" si="38"/>
        <v>0</v>
      </c>
      <c r="L200" s="23" t="s">
        <v>232</v>
      </c>
      <c r="M200" s="24" t="e">
        <f t="shared" si="37"/>
        <v>#VALUE!</v>
      </c>
      <c r="N200" s="19" t="e">
        <f t="shared" si="39"/>
        <v>#VALUE!</v>
      </c>
      <c r="O200" s="24" t="e">
        <f t="shared" si="40"/>
        <v>#VALUE!</v>
      </c>
      <c r="P200" s="24" t="e">
        <f t="shared" si="41"/>
        <v>#VALUE!</v>
      </c>
      <c r="Q200" s="24" t="e">
        <f t="shared" si="42"/>
        <v>#VALUE!</v>
      </c>
      <c r="R200" s="36">
        <f t="shared" si="43"/>
        <v>0</v>
      </c>
      <c r="S200" s="23" t="s">
        <v>232</v>
      </c>
      <c r="T200" s="24" t="e">
        <f t="shared" si="44"/>
        <v>#VALUE!</v>
      </c>
      <c r="U200" s="23" t="e">
        <f t="shared" si="45"/>
        <v>#VALUE!</v>
      </c>
      <c r="V200" s="23" t="e">
        <f t="shared" si="46"/>
        <v>#VALUE!</v>
      </c>
      <c r="W200" s="23" t="e">
        <f t="shared" si="47"/>
        <v>#VALUE!</v>
      </c>
    </row>
    <row r="201" spans="1:23" s="31" customFormat="1" ht="15" customHeight="1" x14ac:dyDescent="0.25">
      <c r="A201" s="31" t="s">
        <v>423</v>
      </c>
      <c r="B201" s="31" t="s">
        <v>424</v>
      </c>
      <c r="C201" s="31" t="s">
        <v>18</v>
      </c>
      <c r="D201" s="31" t="s">
        <v>26</v>
      </c>
      <c r="E201" s="19" t="s">
        <v>232</v>
      </c>
      <c r="F201" s="29">
        <v>162.92664529511597</v>
      </c>
      <c r="G201" s="30">
        <v>9827</v>
      </c>
      <c r="H201" s="30">
        <v>10707</v>
      </c>
      <c r="I201" s="31">
        <v>97.7</v>
      </c>
      <c r="J201" s="24">
        <f t="shared" si="36"/>
        <v>246.26100000000022</v>
      </c>
      <c r="K201" s="36">
        <f t="shared" si="38"/>
        <v>246.26100000000022</v>
      </c>
      <c r="L201" s="29">
        <v>162.92664529511597</v>
      </c>
      <c r="M201" s="24">
        <f t="shared" si="37"/>
        <v>40122.478597020592</v>
      </c>
      <c r="N201" s="19">
        <f t="shared" si="39"/>
        <v>1.8630000000000001E-2</v>
      </c>
      <c r="O201" s="24">
        <f t="shared" si="40"/>
        <v>747.48177626249367</v>
      </c>
      <c r="P201" s="24">
        <f t="shared" si="41"/>
        <v>1121.2226643937406</v>
      </c>
      <c r="Q201" s="24">
        <f t="shared" si="42"/>
        <v>41243.701261414331</v>
      </c>
      <c r="R201" s="36">
        <f t="shared" si="43"/>
        <v>41243.701261414331</v>
      </c>
      <c r="S201" s="24">
        <v>0</v>
      </c>
      <c r="T201" s="24">
        <f t="shared" si="44"/>
        <v>0</v>
      </c>
      <c r="U201" s="23" t="e">
        <f t="shared" si="45"/>
        <v>#DIV/0!</v>
      </c>
      <c r="V201" s="23" t="e">
        <f t="shared" si="46"/>
        <v>#DIV/0!</v>
      </c>
      <c r="W201" s="23" t="e">
        <f t="shared" si="47"/>
        <v>#DIV/0!</v>
      </c>
    </row>
    <row r="202" spans="1:23" ht="15" customHeight="1" x14ac:dyDescent="0.25">
      <c r="A202" s="19" t="s">
        <v>425</v>
      </c>
      <c r="B202" s="19" t="s">
        <v>426</v>
      </c>
      <c r="C202" s="19" t="s">
        <v>14</v>
      </c>
      <c r="D202" s="19" t="s">
        <v>32</v>
      </c>
      <c r="E202" s="19" t="s">
        <v>467</v>
      </c>
      <c r="F202" s="23">
        <v>68.964152792292879</v>
      </c>
      <c r="G202" s="24">
        <v>33987213</v>
      </c>
      <c r="H202" s="24">
        <v>63387713</v>
      </c>
      <c r="I202" s="19">
        <v>71.7</v>
      </c>
      <c r="J202" s="24">
        <f t="shared" si="36"/>
        <v>17938722.778999995</v>
      </c>
      <c r="K202" s="36">
        <f t="shared" si="38"/>
        <v>17938722.778999995</v>
      </c>
      <c r="L202" s="23">
        <v>44.988720592974538</v>
      </c>
      <c r="M202" s="24">
        <f t="shared" si="37"/>
        <v>807040186.89925849</v>
      </c>
      <c r="N202" s="19">
        <f t="shared" si="39"/>
        <v>1.8630000000000001E-2</v>
      </c>
      <c r="O202" s="24">
        <f t="shared" si="40"/>
        <v>15035158.681933187</v>
      </c>
      <c r="P202" s="24">
        <f t="shared" si="41"/>
        <v>22552738.02289978</v>
      </c>
      <c r="Q202" s="24">
        <f t="shared" si="42"/>
        <v>829592924.92215824</v>
      </c>
      <c r="R202" s="36">
        <f t="shared" si="43"/>
        <v>829592924.92215824</v>
      </c>
      <c r="S202" s="24">
        <v>2346264440.3663912</v>
      </c>
      <c r="T202" s="24">
        <f t="shared" si="44"/>
        <v>35193966605.495865</v>
      </c>
      <c r="U202" s="23">
        <f t="shared" si="45"/>
        <v>2.3572021142754893E-2</v>
      </c>
      <c r="V202" s="23">
        <f t="shared" si="46"/>
        <v>7.8573403809182978E-3</v>
      </c>
      <c r="W202" s="23">
        <f t="shared" si="47"/>
        <v>7.0716063428264683E-2</v>
      </c>
    </row>
    <row r="203" spans="1:23" ht="15" customHeight="1" x14ac:dyDescent="0.25">
      <c r="A203" s="19" t="s">
        <v>427</v>
      </c>
      <c r="B203" s="19" t="s">
        <v>428</v>
      </c>
      <c r="C203" s="19" t="s">
        <v>40</v>
      </c>
      <c r="D203" s="19" t="s">
        <v>19</v>
      </c>
      <c r="E203" s="19" t="s">
        <v>232</v>
      </c>
      <c r="F203" s="23">
        <v>270.56505523889945</v>
      </c>
      <c r="G203" s="24">
        <v>45870700</v>
      </c>
      <c r="H203" s="24">
        <v>39841900</v>
      </c>
      <c r="I203" s="19">
        <v>98</v>
      </c>
      <c r="J203" s="24">
        <f t="shared" si="36"/>
        <v>796838.0000000007</v>
      </c>
      <c r="K203" s="36">
        <f t="shared" si="38"/>
        <v>796838.0000000007</v>
      </c>
      <c r="L203" s="23">
        <v>270.56505523889945</v>
      </c>
      <c r="M203" s="24">
        <f t="shared" si="37"/>
        <v>215596517.48645434</v>
      </c>
      <c r="N203" s="19">
        <f t="shared" si="39"/>
        <v>1.8630000000000001E-2</v>
      </c>
      <c r="O203" s="24">
        <f t="shared" si="40"/>
        <v>4016563.1207726444</v>
      </c>
      <c r="P203" s="24">
        <f t="shared" si="41"/>
        <v>6024844.6811589664</v>
      </c>
      <c r="Q203" s="24">
        <f t="shared" si="42"/>
        <v>221621362.1676133</v>
      </c>
      <c r="R203" s="36">
        <f t="shared" si="43"/>
        <v>221621362.1676133</v>
      </c>
      <c r="S203" s="24">
        <v>7490439523.5188084</v>
      </c>
      <c r="T203" s="24">
        <f t="shared" si="44"/>
        <v>112356592852.78212</v>
      </c>
      <c r="U203" s="23">
        <f t="shared" si="45"/>
        <v>1.9724820461403448E-3</v>
      </c>
      <c r="V203" s="23">
        <f t="shared" si="46"/>
        <v>6.5749401538011483E-4</v>
      </c>
      <c r="W203" s="23">
        <f t="shared" si="47"/>
        <v>5.917446138421034E-3</v>
      </c>
    </row>
    <row r="204" spans="1:23" ht="15" customHeight="1" x14ac:dyDescent="0.25">
      <c r="A204" s="19" t="s">
        <v>429</v>
      </c>
      <c r="B204" s="19" t="s">
        <v>430</v>
      </c>
      <c r="C204" s="19" t="s">
        <v>29</v>
      </c>
      <c r="D204" s="19" t="s">
        <v>22</v>
      </c>
      <c r="E204" s="19" t="s">
        <v>474</v>
      </c>
      <c r="F204" s="23">
        <v>463.55505996404435</v>
      </c>
      <c r="G204" s="24">
        <v>8441537</v>
      </c>
      <c r="H204" s="24">
        <v>12330367</v>
      </c>
      <c r="I204" s="19">
        <v>99.6</v>
      </c>
      <c r="J204" s="24">
        <f t="shared" si="36"/>
        <v>49321.468000000044</v>
      </c>
      <c r="K204" s="36">
        <f t="shared" si="38"/>
        <v>49321.468000000044</v>
      </c>
      <c r="L204" s="23" t="s">
        <v>232</v>
      </c>
      <c r="M204" s="24" t="e">
        <f t="shared" si="37"/>
        <v>#VALUE!</v>
      </c>
      <c r="N204" s="19" t="e">
        <f t="shared" si="39"/>
        <v>#VALUE!</v>
      </c>
      <c r="O204" s="24" t="e">
        <f t="shared" si="40"/>
        <v>#VALUE!</v>
      </c>
      <c r="P204" s="24" t="e">
        <f t="shared" si="41"/>
        <v>#VALUE!</v>
      </c>
      <c r="Q204" s="24" t="e">
        <f t="shared" si="42"/>
        <v>#VALUE!</v>
      </c>
      <c r="R204" s="36">
        <f t="shared" si="43"/>
        <v>0</v>
      </c>
      <c r="S204" s="24">
        <v>62330586907.323227</v>
      </c>
      <c r="T204" s="24">
        <f t="shared" si="44"/>
        <v>934958803609.84839</v>
      </c>
      <c r="U204" s="23" t="e">
        <f t="shared" si="45"/>
        <v>#VALUE!</v>
      </c>
      <c r="V204" s="23" t="e">
        <f t="shared" si="46"/>
        <v>#VALUE!</v>
      </c>
      <c r="W204" s="23" t="e">
        <f t="shared" si="47"/>
        <v>#VALUE!</v>
      </c>
    </row>
    <row r="205" spans="1:23" ht="15" customHeight="1" x14ac:dyDescent="0.25">
      <c r="A205" s="19" t="s">
        <v>431</v>
      </c>
      <c r="B205" s="19" t="s">
        <v>432</v>
      </c>
      <c r="C205" s="19" t="s">
        <v>45</v>
      </c>
      <c r="D205" s="19" t="s">
        <v>19</v>
      </c>
      <c r="E205" s="19" t="s">
        <v>232</v>
      </c>
      <c r="F205" s="23" t="s">
        <v>232</v>
      </c>
      <c r="G205" s="24">
        <v>62747868</v>
      </c>
      <c r="H205" s="24">
        <v>68630898</v>
      </c>
      <c r="I205" s="19">
        <v>100</v>
      </c>
      <c r="J205" s="24">
        <f t="shared" si="36"/>
        <v>0</v>
      </c>
      <c r="K205" s="36">
        <f t="shared" si="38"/>
        <v>0</v>
      </c>
      <c r="L205" s="23" t="s">
        <v>232</v>
      </c>
      <c r="M205" s="24" t="e">
        <f t="shared" si="37"/>
        <v>#VALUE!</v>
      </c>
      <c r="N205" s="19" t="e">
        <f t="shared" si="39"/>
        <v>#VALUE!</v>
      </c>
      <c r="O205" s="24" t="e">
        <f t="shared" si="40"/>
        <v>#VALUE!</v>
      </c>
      <c r="P205" s="24" t="e">
        <f t="shared" si="41"/>
        <v>#VALUE!</v>
      </c>
      <c r="Q205" s="24" t="e">
        <f t="shared" si="42"/>
        <v>#VALUE!</v>
      </c>
      <c r="R205" s="36">
        <f t="shared" si="43"/>
        <v>0</v>
      </c>
      <c r="S205" s="24">
        <v>35339743590.988991</v>
      </c>
      <c r="T205" s="24">
        <f t="shared" si="44"/>
        <v>530096153864.83484</v>
      </c>
      <c r="U205" s="23" t="e">
        <f t="shared" si="45"/>
        <v>#VALUE!</v>
      </c>
      <c r="V205" s="23" t="e">
        <f t="shared" si="46"/>
        <v>#VALUE!</v>
      </c>
      <c r="W205" s="23" t="e">
        <f t="shared" si="47"/>
        <v>#VALUE!</v>
      </c>
    </row>
    <row r="206" spans="1:23" ht="15" customHeight="1" x14ac:dyDescent="0.25">
      <c r="A206" s="19" t="s">
        <v>433</v>
      </c>
      <c r="B206" s="19" t="s">
        <v>434</v>
      </c>
      <c r="C206" s="19" t="s">
        <v>45</v>
      </c>
      <c r="D206" s="19" t="s">
        <v>69</v>
      </c>
      <c r="E206" s="19" t="s">
        <v>232</v>
      </c>
      <c r="F206" s="23" t="s">
        <v>232</v>
      </c>
      <c r="G206" s="24">
        <v>309326225</v>
      </c>
      <c r="H206" s="24">
        <v>362628830</v>
      </c>
      <c r="I206" s="19">
        <v>99.1</v>
      </c>
      <c r="J206" s="24">
        <f t="shared" si="36"/>
        <v>3263659.470000003</v>
      </c>
      <c r="K206" s="36">
        <f t="shared" si="38"/>
        <v>3263659.470000003</v>
      </c>
      <c r="L206" s="23" t="s">
        <v>232</v>
      </c>
      <c r="M206" s="24" t="e">
        <f t="shared" si="37"/>
        <v>#VALUE!</v>
      </c>
      <c r="N206" s="19" t="e">
        <f t="shared" si="39"/>
        <v>#VALUE!</v>
      </c>
      <c r="O206" s="24" t="e">
        <f t="shared" si="40"/>
        <v>#VALUE!</v>
      </c>
      <c r="P206" s="24" t="e">
        <f t="shared" si="41"/>
        <v>#VALUE!</v>
      </c>
      <c r="Q206" s="24" t="e">
        <f t="shared" si="42"/>
        <v>#VALUE!</v>
      </c>
      <c r="R206" s="36">
        <f t="shared" si="43"/>
        <v>0</v>
      </c>
      <c r="S206" s="24">
        <v>183742824092.28073</v>
      </c>
      <c r="T206" s="24">
        <f t="shared" si="44"/>
        <v>2756142361384.2109</v>
      </c>
      <c r="U206" s="23" t="e">
        <f t="shared" si="45"/>
        <v>#VALUE!</v>
      </c>
      <c r="V206" s="23" t="e">
        <f t="shared" si="46"/>
        <v>#VALUE!</v>
      </c>
      <c r="W206" s="23" t="e">
        <f t="shared" si="47"/>
        <v>#VALUE!</v>
      </c>
    </row>
    <row r="207" spans="1:23" ht="15" customHeight="1" x14ac:dyDescent="0.25">
      <c r="A207" s="19" t="s">
        <v>435</v>
      </c>
      <c r="B207" s="19" t="s">
        <v>436</v>
      </c>
      <c r="C207" s="19" t="s">
        <v>29</v>
      </c>
      <c r="D207" s="19" t="s">
        <v>35</v>
      </c>
      <c r="E207" s="19" t="s">
        <v>468</v>
      </c>
      <c r="F207" s="23">
        <v>457.1136934673367</v>
      </c>
      <c r="G207" s="24">
        <v>3371982</v>
      </c>
      <c r="H207" s="24">
        <v>3581432</v>
      </c>
      <c r="I207" s="19">
        <v>99.1</v>
      </c>
      <c r="J207" s="24">
        <f t="shared" si="36"/>
        <v>32232.888000000028</v>
      </c>
      <c r="K207" s="36">
        <f t="shared" si="38"/>
        <v>32232.888000000028</v>
      </c>
      <c r="L207" s="23">
        <v>577.46478873239437</v>
      </c>
      <c r="M207" s="24">
        <f t="shared" si="37"/>
        <v>18613357.859154947</v>
      </c>
      <c r="N207" s="19">
        <f t="shared" si="39"/>
        <v>1.8630000000000001E-2</v>
      </c>
      <c r="O207" s="24">
        <f t="shared" si="40"/>
        <v>346766.85691605665</v>
      </c>
      <c r="P207" s="24">
        <f t="shared" si="41"/>
        <v>520150.28537408495</v>
      </c>
      <c r="Q207" s="24">
        <f t="shared" si="42"/>
        <v>19133508.144529033</v>
      </c>
      <c r="R207" s="36">
        <f t="shared" si="43"/>
        <v>19133508.144529033</v>
      </c>
      <c r="S207" s="24">
        <v>1344798564.3950837</v>
      </c>
      <c r="T207" s="24">
        <f t="shared" si="44"/>
        <v>20171978465.926254</v>
      </c>
      <c r="U207" s="23">
        <f t="shared" si="45"/>
        <v>9.4851916369277482E-4</v>
      </c>
      <c r="V207" s="23">
        <f t="shared" si="46"/>
        <v>3.1617305456425827E-4</v>
      </c>
      <c r="W207" s="23">
        <f t="shared" si="47"/>
        <v>2.8455574910783246E-3</v>
      </c>
    </row>
    <row r="208" spans="1:23" ht="15" customHeight="1" x14ac:dyDescent="0.25">
      <c r="A208" s="19" t="s">
        <v>437</v>
      </c>
      <c r="B208" s="19" t="s">
        <v>438</v>
      </c>
      <c r="C208" s="19" t="s">
        <v>40</v>
      </c>
      <c r="D208" s="19" t="s">
        <v>19</v>
      </c>
      <c r="E208" s="19" t="s">
        <v>469</v>
      </c>
      <c r="F208" s="23">
        <v>270.56505523889945</v>
      </c>
      <c r="G208" s="24">
        <v>28562400</v>
      </c>
      <c r="H208" s="24">
        <v>34146873</v>
      </c>
      <c r="I208" s="19">
        <v>87.3</v>
      </c>
      <c r="J208" s="24">
        <f t="shared" si="36"/>
        <v>4336652.8710000003</v>
      </c>
      <c r="K208" s="36">
        <f t="shared" si="38"/>
        <v>4336652.8710000003</v>
      </c>
      <c r="L208" s="23">
        <v>253.41543197998845</v>
      </c>
      <c r="M208" s="24">
        <f t="shared" si="37"/>
        <v>1098974760.6517222</v>
      </c>
      <c r="N208" s="19">
        <f t="shared" si="39"/>
        <v>1.8630000000000001E-2</v>
      </c>
      <c r="O208" s="24">
        <f t="shared" si="40"/>
        <v>20473899.790941585</v>
      </c>
      <c r="P208" s="24">
        <f t="shared" si="41"/>
        <v>30710849.686412375</v>
      </c>
      <c r="Q208" s="24">
        <f t="shared" si="42"/>
        <v>1129685610.3381345</v>
      </c>
      <c r="R208" s="36">
        <f t="shared" si="43"/>
        <v>1129685610.3381345</v>
      </c>
      <c r="S208" s="24">
        <v>10682101144.876232</v>
      </c>
      <c r="T208" s="24">
        <f t="shared" si="44"/>
        <v>160231517173.14349</v>
      </c>
      <c r="U208" s="23">
        <f t="shared" si="45"/>
        <v>7.0503333568102912E-3</v>
      </c>
      <c r="V208" s="23">
        <f t="shared" si="46"/>
        <v>2.3501111189367634E-3</v>
      </c>
      <c r="W208" s="23">
        <f t="shared" si="47"/>
        <v>2.1151000070430873E-2</v>
      </c>
    </row>
    <row r="209" spans="1:23" ht="15" customHeight="1" x14ac:dyDescent="0.25">
      <c r="A209" s="19" t="s">
        <v>439</v>
      </c>
      <c r="B209" s="19" t="s">
        <v>440</v>
      </c>
      <c r="C209" s="19" t="s">
        <v>40</v>
      </c>
      <c r="D209" s="19" t="s">
        <v>26</v>
      </c>
      <c r="E209" s="19" t="s">
        <v>473</v>
      </c>
      <c r="F209" s="23">
        <v>162.92664529511597</v>
      </c>
      <c r="G209" s="24">
        <v>236299</v>
      </c>
      <c r="H209" s="24">
        <v>352225</v>
      </c>
      <c r="I209" s="19">
        <v>89.3</v>
      </c>
      <c r="J209" s="24">
        <f t="shared" si="36"/>
        <v>37688.074999999997</v>
      </c>
      <c r="K209" s="36">
        <f t="shared" si="38"/>
        <v>37688.074999999997</v>
      </c>
      <c r="L209" s="23">
        <v>321.42857142857144</v>
      </c>
      <c r="M209" s="24">
        <f t="shared" si="37"/>
        <v>12114024.107142856</v>
      </c>
      <c r="N209" s="19">
        <f t="shared" si="39"/>
        <v>1.8630000000000001E-2</v>
      </c>
      <c r="O209" s="24">
        <f t="shared" si="40"/>
        <v>225684.26911607143</v>
      </c>
      <c r="P209" s="24">
        <f t="shared" si="41"/>
        <v>338526.40367410716</v>
      </c>
      <c r="Q209" s="24">
        <f t="shared" si="42"/>
        <v>12452550.510816963</v>
      </c>
      <c r="R209" s="36">
        <f t="shared" si="43"/>
        <v>12452550.510816963</v>
      </c>
      <c r="S209" s="24">
        <v>7861829.9212791082</v>
      </c>
      <c r="T209" s="24">
        <f t="shared" si="44"/>
        <v>117927448.81918663</v>
      </c>
      <c r="U209" s="23">
        <f t="shared" si="45"/>
        <v>0.10559501316703589</v>
      </c>
      <c r="V209" s="23">
        <f t="shared" si="46"/>
        <v>3.5198337722345298E-2</v>
      </c>
      <c r="W209" s="23">
        <f t="shared" si="47"/>
        <v>0.3167850395011077</v>
      </c>
    </row>
    <row r="210" spans="1:23" ht="15" customHeight="1" x14ac:dyDescent="0.25">
      <c r="A210" s="19" t="s">
        <v>441</v>
      </c>
      <c r="B210" s="19" t="s">
        <v>442</v>
      </c>
      <c r="C210" s="19" t="s">
        <v>18</v>
      </c>
      <c r="D210" s="19" t="s">
        <v>35</v>
      </c>
      <c r="E210" s="19" t="s">
        <v>468</v>
      </c>
      <c r="F210" s="23">
        <v>457.1136934673367</v>
      </c>
      <c r="G210" s="24">
        <v>29043283</v>
      </c>
      <c r="H210" s="24">
        <v>37172167</v>
      </c>
      <c r="I210" s="23" t="s">
        <v>232</v>
      </c>
      <c r="J210" s="24" t="e">
        <f t="shared" si="36"/>
        <v>#VALUE!</v>
      </c>
      <c r="K210" s="36">
        <f t="shared" si="38"/>
        <v>0</v>
      </c>
      <c r="L210" s="23" t="s">
        <v>232</v>
      </c>
      <c r="M210" s="24" t="e">
        <f t="shared" si="37"/>
        <v>#VALUE!</v>
      </c>
      <c r="N210" s="19" t="e">
        <f t="shared" si="39"/>
        <v>#VALUE!</v>
      </c>
      <c r="O210" s="24" t="e">
        <f t="shared" si="40"/>
        <v>#VALUE!</v>
      </c>
      <c r="P210" s="24" t="e">
        <f t="shared" si="41"/>
        <v>#VALUE!</v>
      </c>
      <c r="Q210" s="24" t="e">
        <f t="shared" si="42"/>
        <v>#VALUE!</v>
      </c>
      <c r="R210" s="36">
        <f t="shared" si="43"/>
        <v>0</v>
      </c>
      <c r="S210" s="24">
        <v>80589397008.56813</v>
      </c>
      <c r="T210" s="24">
        <f t="shared" si="44"/>
        <v>1208840955128.522</v>
      </c>
      <c r="U210" s="23" t="e">
        <f t="shared" si="45"/>
        <v>#VALUE!</v>
      </c>
      <c r="V210" s="23" t="e">
        <f t="shared" si="46"/>
        <v>#VALUE!</v>
      </c>
      <c r="W210" s="23" t="e">
        <f t="shared" si="47"/>
        <v>#VALUE!</v>
      </c>
    </row>
    <row r="211" spans="1:23" ht="15" customHeight="1" x14ac:dyDescent="0.25">
      <c r="A211" s="19" t="s">
        <v>443</v>
      </c>
      <c r="B211" s="19" t="s">
        <v>444</v>
      </c>
      <c r="C211" s="19" t="s">
        <v>40</v>
      </c>
      <c r="D211" s="19" t="s">
        <v>26</v>
      </c>
      <c r="E211" s="19" t="s">
        <v>471</v>
      </c>
      <c r="F211" s="23">
        <v>286.39139284675775</v>
      </c>
      <c r="G211" s="24">
        <v>86932500</v>
      </c>
      <c r="H211" s="24">
        <v>101830324</v>
      </c>
      <c r="I211" s="19">
        <v>92.3</v>
      </c>
      <c r="J211" s="24">
        <f t="shared" si="36"/>
        <v>7840934.9480000073</v>
      </c>
      <c r="K211" s="36">
        <f t="shared" si="38"/>
        <v>7840934.9480000073</v>
      </c>
      <c r="L211" s="23">
        <v>286.39139284675775</v>
      </c>
      <c r="M211" s="24">
        <f t="shared" si="37"/>
        <v>2245576280.9785423</v>
      </c>
      <c r="N211" s="19">
        <f t="shared" si="39"/>
        <v>1.8630000000000001E-2</v>
      </c>
      <c r="O211" s="24">
        <f t="shared" si="40"/>
        <v>41835086.114630245</v>
      </c>
      <c r="P211" s="24">
        <f t="shared" si="41"/>
        <v>62752629.171945363</v>
      </c>
      <c r="Q211" s="24">
        <f t="shared" si="42"/>
        <v>2308328910.1504879</v>
      </c>
      <c r="R211" s="36">
        <f t="shared" si="43"/>
        <v>2308328910.1504879</v>
      </c>
      <c r="S211" s="24">
        <v>13594414917.099127</v>
      </c>
      <c r="T211" s="24">
        <f t="shared" si="44"/>
        <v>203916223756.48691</v>
      </c>
      <c r="U211" s="23">
        <f t="shared" si="45"/>
        <v>1.1319986549510904E-2</v>
      </c>
      <c r="V211" s="23">
        <f t="shared" si="46"/>
        <v>3.7733288498369684E-3</v>
      </c>
      <c r="W211" s="23">
        <f t="shared" si="47"/>
        <v>3.3959959648532718E-2</v>
      </c>
    </row>
    <row r="212" spans="1:23" ht="15" customHeight="1" x14ac:dyDescent="0.25">
      <c r="A212" s="19" t="s">
        <v>445</v>
      </c>
      <c r="B212" s="19" t="s">
        <v>446</v>
      </c>
      <c r="C212" s="19" t="s">
        <v>29</v>
      </c>
      <c r="D212" s="19" t="s">
        <v>35</v>
      </c>
      <c r="E212" s="19" t="s">
        <v>468</v>
      </c>
      <c r="F212" s="23">
        <v>457.1136934673367</v>
      </c>
      <c r="G212" s="24">
        <v>106267</v>
      </c>
      <c r="H212" s="24">
        <v>104912</v>
      </c>
      <c r="I212" s="19">
        <v>100</v>
      </c>
      <c r="J212" s="24">
        <f t="shared" si="36"/>
        <v>0</v>
      </c>
      <c r="K212" s="36">
        <f t="shared" si="38"/>
        <v>0</v>
      </c>
      <c r="L212" s="23" t="s">
        <v>232</v>
      </c>
      <c r="M212" s="24" t="e">
        <f t="shared" si="37"/>
        <v>#VALUE!</v>
      </c>
      <c r="N212" s="19" t="e">
        <f t="shared" si="39"/>
        <v>#VALUE!</v>
      </c>
      <c r="O212" s="24" t="e">
        <f t="shared" si="40"/>
        <v>#VALUE!</v>
      </c>
      <c r="P212" s="24" t="e">
        <f t="shared" si="41"/>
        <v>#VALUE!</v>
      </c>
      <c r="Q212" s="24" t="e">
        <f t="shared" si="42"/>
        <v>#VALUE!</v>
      </c>
      <c r="R212" s="36">
        <f t="shared" si="43"/>
        <v>0</v>
      </c>
      <c r="S212" s="23" t="s">
        <v>232</v>
      </c>
      <c r="T212" s="24" t="e">
        <f t="shared" si="44"/>
        <v>#VALUE!</v>
      </c>
      <c r="U212" s="23" t="e">
        <f t="shared" si="45"/>
        <v>#VALUE!</v>
      </c>
      <c r="V212" s="23" t="e">
        <f t="shared" si="46"/>
        <v>#VALUE!</v>
      </c>
      <c r="W212" s="23" t="e">
        <f t="shared" si="47"/>
        <v>#VALUE!</v>
      </c>
    </row>
    <row r="213" spans="1:23" ht="15" customHeight="1" x14ac:dyDescent="0.25">
      <c r="A213" s="19" t="s">
        <v>447</v>
      </c>
      <c r="B213" s="19" t="s">
        <v>448</v>
      </c>
      <c r="C213" s="19" t="s">
        <v>40</v>
      </c>
      <c r="D213" s="19" t="s">
        <v>22</v>
      </c>
      <c r="E213" s="19" t="s">
        <v>232</v>
      </c>
      <c r="F213" s="23" t="s">
        <v>232</v>
      </c>
      <c r="G213" s="24">
        <v>3811102</v>
      </c>
      <c r="H213" s="24" t="s">
        <v>232</v>
      </c>
      <c r="I213" s="19">
        <v>81.8</v>
      </c>
      <c r="K213" s="36">
        <f t="shared" si="38"/>
        <v>0</v>
      </c>
      <c r="L213" s="23" t="s">
        <v>232</v>
      </c>
      <c r="M213" s="24" t="e">
        <f t="shared" si="37"/>
        <v>#VALUE!</v>
      </c>
      <c r="N213" s="19" t="e">
        <f t="shared" si="39"/>
        <v>#VALUE!</v>
      </c>
      <c r="O213" s="24" t="e">
        <f t="shared" si="40"/>
        <v>#VALUE!</v>
      </c>
      <c r="P213" s="24" t="e">
        <f t="shared" si="41"/>
        <v>#VALUE!</v>
      </c>
      <c r="Q213" s="24" t="e">
        <f t="shared" si="42"/>
        <v>#VALUE!</v>
      </c>
      <c r="R213" s="36">
        <f t="shared" si="43"/>
        <v>0</v>
      </c>
      <c r="S213" s="23" t="s">
        <v>232</v>
      </c>
      <c r="T213" s="24" t="e">
        <f t="shared" si="44"/>
        <v>#VALUE!</v>
      </c>
      <c r="U213" s="23" t="e">
        <f t="shared" si="45"/>
        <v>#VALUE!</v>
      </c>
      <c r="V213" s="23" t="e">
        <f t="shared" si="46"/>
        <v>#VALUE!</v>
      </c>
      <c r="W213" s="23" t="e">
        <f t="shared" si="47"/>
        <v>#VALUE!</v>
      </c>
    </row>
    <row r="214" spans="1:23" ht="15" customHeight="1" x14ac:dyDescent="0.25">
      <c r="A214" s="19" t="s">
        <v>449</v>
      </c>
      <c r="B214" s="19" t="s">
        <v>450</v>
      </c>
      <c r="C214" s="19" t="s">
        <v>40</v>
      </c>
      <c r="D214" s="19" t="s">
        <v>22</v>
      </c>
      <c r="E214" s="19" t="s">
        <v>474</v>
      </c>
      <c r="F214" s="23">
        <v>463.55505996404435</v>
      </c>
      <c r="G214" s="24">
        <v>22763008</v>
      </c>
      <c r="H214" s="24">
        <v>33991041</v>
      </c>
      <c r="I214" s="19">
        <v>54.6</v>
      </c>
      <c r="J214" s="24">
        <f>(1-(I214/100))*H214</f>
        <v>15431932.613999998</v>
      </c>
      <c r="K214" s="36">
        <f t="shared" si="38"/>
        <v>15431932.613999998</v>
      </c>
      <c r="L214" s="23">
        <v>463.55505996404435</v>
      </c>
      <c r="M214" s="24">
        <f t="shared" si="37"/>
        <v>7153550448.2438612</v>
      </c>
      <c r="N214" s="19">
        <f t="shared" si="39"/>
        <v>1.8630000000000001E-2</v>
      </c>
      <c r="O214" s="24">
        <f t="shared" si="40"/>
        <v>133270644.85078314</v>
      </c>
      <c r="P214" s="24">
        <f t="shared" si="41"/>
        <v>199905967.27617472</v>
      </c>
      <c r="Q214" s="24">
        <f t="shared" si="42"/>
        <v>7353456415.5200357</v>
      </c>
      <c r="R214" s="36">
        <f t="shared" si="43"/>
        <v>7353456415.5200357</v>
      </c>
      <c r="S214" s="24">
        <v>6972508226.6016922</v>
      </c>
      <c r="T214" s="24">
        <f t="shared" si="44"/>
        <v>104587623399.02539</v>
      </c>
      <c r="U214" s="23">
        <f t="shared" si="45"/>
        <v>7.0309049737796794E-2</v>
      </c>
      <c r="V214" s="23">
        <f t="shared" si="46"/>
        <v>2.3436349912598929E-2</v>
      </c>
      <c r="W214" s="23">
        <f t="shared" si="47"/>
        <v>0.2109271492133904</v>
      </c>
    </row>
    <row r="215" spans="1:23" ht="15" customHeight="1" x14ac:dyDescent="0.25">
      <c r="A215" s="19" t="s">
        <v>451</v>
      </c>
      <c r="B215" s="19" t="s">
        <v>452</v>
      </c>
      <c r="C215" s="19" t="s">
        <v>40</v>
      </c>
      <c r="D215" s="19" t="s">
        <v>32</v>
      </c>
      <c r="E215" s="19" t="s">
        <v>467</v>
      </c>
      <c r="F215" s="23">
        <v>68.964152792292879</v>
      </c>
      <c r="G215" s="24">
        <v>13216985</v>
      </c>
      <c r="H215" s="24">
        <v>24956509</v>
      </c>
      <c r="I215" s="19">
        <v>61.7</v>
      </c>
      <c r="J215" s="24">
        <f>(1-(I215/100))*H215</f>
        <v>9558342.9470000006</v>
      </c>
      <c r="K215" s="36">
        <f t="shared" si="38"/>
        <v>9558342.9470000006</v>
      </c>
      <c r="L215" s="23">
        <v>79.371938922500718</v>
      </c>
      <c r="M215" s="24">
        <f t="shared" si="37"/>
        <v>758664212.58959961</v>
      </c>
      <c r="N215" s="19">
        <f t="shared" si="39"/>
        <v>1.8630000000000001E-2</v>
      </c>
      <c r="O215" s="24">
        <f t="shared" si="40"/>
        <v>14133914.280544242</v>
      </c>
      <c r="P215" s="24">
        <f t="shared" si="41"/>
        <v>21200871.420816362</v>
      </c>
      <c r="Q215" s="24">
        <f t="shared" si="42"/>
        <v>779865084.01041603</v>
      </c>
      <c r="R215" s="36">
        <f t="shared" si="43"/>
        <v>779865084.01041603</v>
      </c>
      <c r="S215" s="24">
        <v>4492889935.3189192</v>
      </c>
      <c r="T215" s="24">
        <f t="shared" si="44"/>
        <v>67393349029.783791</v>
      </c>
      <c r="U215" s="23">
        <f t="shared" si="45"/>
        <v>1.1571840474432615E-2</v>
      </c>
      <c r="V215" s="23">
        <f t="shared" si="46"/>
        <v>3.8572801581442046E-3</v>
      </c>
      <c r="W215" s="23">
        <f t="shared" si="47"/>
        <v>3.471552142329784E-2</v>
      </c>
    </row>
    <row r="216" spans="1:23" ht="15" customHeight="1" x14ac:dyDescent="0.25">
      <c r="A216" s="19" t="s">
        <v>453</v>
      </c>
      <c r="B216" s="19" t="s">
        <v>454</v>
      </c>
      <c r="C216" s="19" t="s">
        <v>14</v>
      </c>
      <c r="D216" s="19" t="s">
        <v>32</v>
      </c>
      <c r="E216" s="19" t="s">
        <v>467</v>
      </c>
      <c r="F216" s="23">
        <v>68.964152792292879</v>
      </c>
      <c r="G216" s="24">
        <v>13076978</v>
      </c>
      <c r="H216" s="24">
        <v>20292380</v>
      </c>
      <c r="I216" s="19">
        <v>79.8</v>
      </c>
      <c r="J216" s="24">
        <f>(1-(I216/100))*H216</f>
        <v>4099060.7600000012</v>
      </c>
      <c r="K216" s="36">
        <f t="shared" si="38"/>
        <v>4099060.7600000012</v>
      </c>
      <c r="L216" s="23">
        <v>104.56176319835981</v>
      </c>
      <c r="M216" s="24">
        <f t="shared" si="37"/>
        <v>428605020.52280891</v>
      </c>
      <c r="N216" s="19">
        <f t="shared" si="39"/>
        <v>1.8630000000000001E-2</v>
      </c>
      <c r="O216" s="24">
        <f t="shared" si="40"/>
        <v>7984911.5323399305</v>
      </c>
      <c r="P216" s="24">
        <f t="shared" si="41"/>
        <v>11977367.298509896</v>
      </c>
      <c r="Q216" s="24">
        <f t="shared" si="42"/>
        <v>440582387.82131881</v>
      </c>
      <c r="R216" s="36">
        <f t="shared" si="43"/>
        <v>440582387.82131881</v>
      </c>
      <c r="S216" s="24">
        <v>996384461.46226156</v>
      </c>
      <c r="T216" s="24">
        <f t="shared" si="44"/>
        <v>14945766921.933924</v>
      </c>
      <c r="U216" s="23">
        <f t="shared" si="45"/>
        <v>2.9478740711173165E-2</v>
      </c>
      <c r="V216" s="23">
        <f t="shared" si="46"/>
        <v>9.8262469037243873E-3</v>
      </c>
      <c r="W216" s="23">
        <f t="shared" si="47"/>
        <v>8.8436222133519496E-2</v>
      </c>
    </row>
    <row r="222" spans="1:23" x14ac:dyDescent="0.25">
      <c r="T222" s="32"/>
    </row>
    <row r="1284" spans="9:9" x14ac:dyDescent="0.25">
      <c r="I1284" s="19" t="e">
        <v>#N/A</v>
      </c>
    </row>
    <row r="1285" spans="9:9" x14ac:dyDescent="0.25">
      <c r="I1285" s="19" t="e">
        <v>#N/A</v>
      </c>
    </row>
  </sheetData>
  <autoFilter ref="A2:W216"/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workbookViewId="0">
      <selection activeCell="C6" sqref="C6"/>
    </sheetView>
  </sheetViews>
  <sheetFormatPr baseColWidth="10" defaultRowHeight="15" x14ac:dyDescent="0.25"/>
  <cols>
    <col min="1" max="1" width="24.5703125" customWidth="1"/>
    <col min="2" max="2" width="61.7109375" style="3" bestFit="1" customWidth="1"/>
    <col min="3" max="3" width="26.140625" style="3" bestFit="1" customWidth="1"/>
    <col min="4" max="4" width="25.42578125" bestFit="1" customWidth="1"/>
  </cols>
  <sheetData>
    <row r="1" spans="1:3" x14ac:dyDescent="0.25">
      <c r="B1" s="4" t="s">
        <v>512</v>
      </c>
      <c r="C1"/>
    </row>
    <row r="2" spans="1:3" x14ac:dyDescent="0.25">
      <c r="A2" s="4" t="s">
        <v>4</v>
      </c>
      <c r="B2" t="s">
        <v>561</v>
      </c>
      <c r="C2" t="s">
        <v>557</v>
      </c>
    </row>
    <row r="3" spans="1:3" x14ac:dyDescent="0.25">
      <c r="A3" t="s">
        <v>26</v>
      </c>
      <c r="B3" s="3">
        <v>221110150.64000005</v>
      </c>
      <c r="C3" s="3">
        <v>95748113882.167282</v>
      </c>
    </row>
    <row r="4" spans="1:3" x14ac:dyDescent="0.25">
      <c r="A4" t="s">
        <v>19</v>
      </c>
      <c r="B4" s="3">
        <v>19877491.030000001</v>
      </c>
      <c r="C4" s="3">
        <v>5655197918.447938</v>
      </c>
    </row>
    <row r="5" spans="1:3" x14ac:dyDescent="0.25">
      <c r="A5" t="s">
        <v>35</v>
      </c>
      <c r="B5" s="3">
        <v>45665602.545999952</v>
      </c>
      <c r="C5" s="3">
        <v>29869058446.634636</v>
      </c>
    </row>
    <row r="6" spans="1:3" x14ac:dyDescent="0.25">
      <c r="A6" t="s">
        <v>22</v>
      </c>
      <c r="B6" s="3">
        <v>48301673.123999983</v>
      </c>
      <c r="C6" s="3">
        <v>19392327872.681896</v>
      </c>
    </row>
    <row r="7" spans="1:3" x14ac:dyDescent="0.25">
      <c r="A7" t="s">
        <v>69</v>
      </c>
      <c r="B7" s="3">
        <v>3344893.4640000029</v>
      </c>
      <c r="C7" s="3">
        <v>0</v>
      </c>
    </row>
    <row r="8" spans="1:3" x14ac:dyDescent="0.25">
      <c r="A8" t="s">
        <v>15</v>
      </c>
      <c r="B8" s="3">
        <v>213589398.21599993</v>
      </c>
      <c r="C8" s="3">
        <v>5044455402.7951717</v>
      </c>
    </row>
    <row r="9" spans="1:3" x14ac:dyDescent="0.25">
      <c r="A9" t="s">
        <v>32</v>
      </c>
      <c r="B9" s="3">
        <v>531629561.31</v>
      </c>
      <c r="C9" s="3">
        <v>37612785910.046417</v>
      </c>
    </row>
    <row r="10" spans="1:3" x14ac:dyDescent="0.25">
      <c r="A10" t="s">
        <v>511</v>
      </c>
      <c r="B10" s="3">
        <v>1083518770.3299999</v>
      </c>
      <c r="C10" s="3">
        <v>193321939432.77332</v>
      </c>
    </row>
    <row r="11" spans="1:3" x14ac:dyDescent="0.25">
      <c r="B11"/>
      <c r="C11"/>
    </row>
    <row r="12" spans="1:3" x14ac:dyDescent="0.25">
      <c r="B12"/>
      <c r="C12"/>
    </row>
    <row r="13" spans="1:3" x14ac:dyDescent="0.25">
      <c r="B13"/>
      <c r="C13"/>
    </row>
    <row r="14" spans="1:3" x14ac:dyDescent="0.25">
      <c r="B14"/>
      <c r="C14"/>
    </row>
    <row r="15" spans="1:3" x14ac:dyDescent="0.25">
      <c r="B15"/>
      <c r="C15"/>
    </row>
    <row r="16" spans="1:3" x14ac:dyDescent="0.25">
      <c r="B16"/>
      <c r="C16"/>
    </row>
    <row r="17" spans="2:3" x14ac:dyDescent="0.25">
      <c r="B17"/>
      <c r="C17"/>
    </row>
    <row r="18" spans="2:3" x14ac:dyDescent="0.25">
      <c r="B18"/>
      <c r="C18"/>
    </row>
    <row r="19" spans="2:3" x14ac:dyDescent="0.25">
      <c r="B19"/>
      <c r="C19"/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6"/>
  <sheetViews>
    <sheetView topLeftCell="E1" zoomScale="90" zoomScaleNormal="90" workbookViewId="0">
      <selection activeCell="K4" sqref="K4"/>
    </sheetView>
  </sheetViews>
  <sheetFormatPr baseColWidth="10" defaultRowHeight="15" x14ac:dyDescent="0.25"/>
  <cols>
    <col min="1" max="1" width="28.7109375" style="19" bestFit="1" customWidth="1"/>
    <col min="2" max="2" width="13" style="19" bestFit="1" customWidth="1"/>
    <col min="3" max="3" width="21.5703125" style="19" bestFit="1" customWidth="1"/>
    <col min="4" max="4" width="24.5703125" style="19" bestFit="1" customWidth="1"/>
    <col min="5" max="5" width="11.85546875" style="19" bestFit="1" customWidth="1"/>
    <col min="6" max="6" width="11" style="19" customWidth="1"/>
    <col min="7" max="8" width="15.28515625" style="24" customWidth="1"/>
    <col min="9" max="9" width="19.140625" style="19" customWidth="1"/>
    <col min="10" max="10" width="18.7109375" style="24" customWidth="1"/>
    <col min="11" max="11" width="18.7109375" style="36" customWidth="1"/>
    <col min="12" max="12" width="13.7109375" style="23" customWidth="1"/>
    <col min="13" max="13" width="12.42578125" style="23" customWidth="1"/>
    <col min="14" max="14" width="15.28515625" style="24" customWidth="1"/>
    <col min="15" max="15" width="20.140625" style="24" bestFit="1" customWidth="1"/>
    <col min="16" max="16" width="20.140625" style="24" customWidth="1"/>
    <col min="17" max="17" width="17.5703125" style="24" bestFit="1" customWidth="1"/>
    <col min="18" max="18" width="17.5703125" style="36" customWidth="1"/>
    <col min="19" max="19" width="14.7109375" style="24" bestFit="1" customWidth="1"/>
    <col min="20" max="20" width="19.85546875" style="24" customWidth="1"/>
    <col min="21" max="21" width="16" style="23" customWidth="1"/>
    <col min="22" max="22" width="14.42578125" style="23" bestFit="1" customWidth="1"/>
    <col min="23" max="23" width="16.140625" style="23" bestFit="1" customWidth="1"/>
    <col min="24" max="16384" width="11.42578125" style="19"/>
  </cols>
  <sheetData>
    <row r="1" spans="1:23" s="10" customFormat="1" ht="17.25" customHeight="1" x14ac:dyDescent="0.25">
      <c r="A1" s="10" t="s">
        <v>477</v>
      </c>
      <c r="G1" s="11"/>
      <c r="H1" s="11"/>
      <c r="J1" s="11"/>
      <c r="K1" s="38"/>
      <c r="L1" s="13"/>
      <c r="M1" s="13"/>
      <c r="N1" s="11"/>
      <c r="O1" s="11"/>
      <c r="P1" s="11"/>
      <c r="Q1" s="11"/>
      <c r="R1" s="38"/>
      <c r="S1" s="11"/>
      <c r="T1" s="11"/>
      <c r="U1" s="13"/>
      <c r="V1" s="13"/>
      <c r="W1" s="13"/>
    </row>
    <row r="2" spans="1:23" s="10" customFormat="1" x14ac:dyDescent="0.25">
      <c r="A2" s="10" t="s">
        <v>478</v>
      </c>
      <c r="B2" s="10" t="s">
        <v>2</v>
      </c>
      <c r="C2" s="10" t="s">
        <v>479</v>
      </c>
      <c r="D2" s="10" t="s">
        <v>4</v>
      </c>
      <c r="E2" s="10" t="s">
        <v>459</v>
      </c>
      <c r="F2" s="10" t="s">
        <v>482</v>
      </c>
      <c r="G2" s="11" t="s">
        <v>455</v>
      </c>
      <c r="H2" s="11" t="s">
        <v>6</v>
      </c>
      <c r="I2" s="10" t="s">
        <v>480</v>
      </c>
      <c r="J2" s="11" t="s">
        <v>481</v>
      </c>
      <c r="K2" s="38" t="s">
        <v>563</v>
      </c>
      <c r="L2" s="13" t="s">
        <v>483</v>
      </c>
      <c r="M2" s="13" t="s">
        <v>484</v>
      </c>
      <c r="N2" s="11" t="s">
        <v>475</v>
      </c>
      <c r="O2" s="11" t="s">
        <v>485</v>
      </c>
      <c r="P2" s="11" t="s">
        <v>464</v>
      </c>
      <c r="Q2" s="11" t="s">
        <v>486</v>
      </c>
      <c r="R2" s="38" t="s">
        <v>562</v>
      </c>
      <c r="S2" s="15" t="s">
        <v>506</v>
      </c>
      <c r="T2" s="15" t="s">
        <v>507</v>
      </c>
      <c r="U2" s="13" t="s">
        <v>508</v>
      </c>
      <c r="V2" s="13" t="s">
        <v>504</v>
      </c>
      <c r="W2" s="13" t="s">
        <v>505</v>
      </c>
    </row>
    <row r="3" spans="1:23" x14ac:dyDescent="0.25">
      <c r="A3" s="19" t="s">
        <v>12</v>
      </c>
      <c r="B3" s="19" t="s">
        <v>13</v>
      </c>
      <c r="C3" s="19" t="s">
        <v>14</v>
      </c>
      <c r="D3" s="19" t="s">
        <v>15</v>
      </c>
      <c r="E3" s="19" t="s">
        <v>465</v>
      </c>
      <c r="F3" s="19" t="s">
        <v>232</v>
      </c>
      <c r="G3" s="24">
        <v>28397812</v>
      </c>
      <c r="H3" s="24">
        <v>43499632</v>
      </c>
      <c r="I3" s="19">
        <v>28</v>
      </c>
      <c r="J3" s="24">
        <f t="shared" ref="J3:J66" si="0">(1-(I3/100))*H3</f>
        <v>31319735.039999999</v>
      </c>
      <c r="K3" s="36">
        <f>IFERROR(J3,0)</f>
        <v>31319735.039999999</v>
      </c>
      <c r="L3" s="23">
        <v>96.204917330591968</v>
      </c>
      <c r="M3" s="23" t="s">
        <v>232</v>
      </c>
      <c r="N3" s="24">
        <f t="shared" ref="N3:N66" si="1">L3*J3</f>
        <v>3013112520.3392444</v>
      </c>
      <c r="O3" s="24">
        <f>N3*0.080745</f>
        <v>243293770.45479229</v>
      </c>
      <c r="P3" s="24">
        <f>(O3/5)*7.5</f>
        <v>364940655.68218845</v>
      </c>
      <c r="Q3" s="24">
        <f>N3+P3</f>
        <v>3378053176.0214329</v>
      </c>
      <c r="R3" s="36">
        <f>IFERROR(Q3,0)</f>
        <v>3378053176.0214329</v>
      </c>
      <c r="S3" s="24">
        <v>275432181.35267156</v>
      </c>
      <c r="T3" s="24">
        <f t="shared" ref="T3:T66" si="2">S3*15</f>
        <v>4131482720.2900734</v>
      </c>
      <c r="U3" s="23">
        <f t="shared" ref="U3:U66" si="3">Q3/T3</f>
        <v>0.81763700945220419</v>
      </c>
      <c r="V3" s="23">
        <f>(Q3/2)/(T3*1.5)</f>
        <v>0.27254566981740136</v>
      </c>
      <c r="W3" s="23">
        <f>(Q3*1.5)/(T3/2)</f>
        <v>2.4529110283566125</v>
      </c>
    </row>
    <row r="4" spans="1:23" x14ac:dyDescent="0.25">
      <c r="A4" s="19" t="s">
        <v>16</v>
      </c>
      <c r="B4" s="19" t="s">
        <v>17</v>
      </c>
      <c r="C4" s="19" t="s">
        <v>18</v>
      </c>
      <c r="D4" s="19" t="s">
        <v>19</v>
      </c>
      <c r="E4" s="19" t="s">
        <v>232</v>
      </c>
      <c r="F4" s="19" t="s">
        <v>469</v>
      </c>
      <c r="G4" s="24">
        <v>2856673</v>
      </c>
      <c r="H4" s="24">
        <v>3310564</v>
      </c>
      <c r="I4" s="19">
        <v>90.1</v>
      </c>
      <c r="J4" s="24">
        <f t="shared" si="0"/>
        <v>327745.8360000003</v>
      </c>
      <c r="K4" s="36">
        <f t="shared" ref="K4:K67" si="4">IFERROR(J4,0)</f>
        <v>327745.8360000003</v>
      </c>
      <c r="L4" s="23">
        <v>319.34731934731934</v>
      </c>
      <c r="M4" s="23">
        <v>319.34731934731934</v>
      </c>
      <c r="N4" s="24">
        <f t="shared" si="1"/>
        <v>104664754.15384625</v>
      </c>
      <c r="O4" s="24">
        <f t="shared" ref="O4:O67" si="5">N4*0.080745</f>
        <v>8451155.574152315</v>
      </c>
      <c r="P4" s="24">
        <f t="shared" ref="P4:P67" si="6">(O4/5)*7.5</f>
        <v>12676733.361228472</v>
      </c>
      <c r="Q4" s="24">
        <f t="shared" ref="Q4:Q67" si="7">N4+P4</f>
        <v>117341487.51507472</v>
      </c>
      <c r="R4" s="36">
        <f t="shared" ref="R4:R67" si="8">IFERROR(Q4,0)</f>
        <v>117341487.51507472</v>
      </c>
      <c r="S4" s="24">
        <v>411495291.46132761</v>
      </c>
      <c r="T4" s="24">
        <f t="shared" si="2"/>
        <v>6172429371.9199142</v>
      </c>
      <c r="U4" s="23">
        <f t="shared" si="3"/>
        <v>1.901058407389699E-2</v>
      </c>
      <c r="V4" s="23">
        <f t="shared" ref="V4:V67" si="9">(Q4/2)/(T4*1.5)</f>
        <v>6.3368613579656632E-3</v>
      </c>
      <c r="W4" s="23">
        <f t="shared" ref="W4:W67" si="10">(Q4*1.5)/(T4/2)</f>
        <v>5.7031752221690962E-2</v>
      </c>
    </row>
    <row r="5" spans="1:23" x14ac:dyDescent="0.25">
      <c r="A5" s="19" t="s">
        <v>20</v>
      </c>
      <c r="B5" s="19" t="s">
        <v>21</v>
      </c>
      <c r="C5" s="19" t="s">
        <v>18</v>
      </c>
      <c r="D5" s="19" t="s">
        <v>22</v>
      </c>
      <c r="E5" s="19" t="s">
        <v>466</v>
      </c>
      <c r="F5" s="19" t="s">
        <v>232</v>
      </c>
      <c r="G5" s="24">
        <v>37062820</v>
      </c>
      <c r="H5" s="24">
        <v>48561408</v>
      </c>
      <c r="I5" s="19">
        <v>95.1</v>
      </c>
      <c r="J5" s="24">
        <f t="shared" si="0"/>
        <v>2379508.9920000019</v>
      </c>
      <c r="K5" s="36">
        <f t="shared" si="4"/>
        <v>2379508.9920000019</v>
      </c>
      <c r="L5" s="23">
        <v>320.98224073668058</v>
      </c>
      <c r="M5" s="23" t="s">
        <v>232</v>
      </c>
      <c r="N5" s="24">
        <f t="shared" si="1"/>
        <v>763780128.10524082</v>
      </c>
      <c r="O5" s="24">
        <f t="shared" si="5"/>
        <v>61671426.44385767</v>
      </c>
      <c r="P5" s="24">
        <f t="shared" si="6"/>
        <v>92507139.665786505</v>
      </c>
      <c r="Q5" s="24">
        <f t="shared" si="7"/>
        <v>856287267.77102733</v>
      </c>
      <c r="R5" s="36">
        <f t="shared" si="8"/>
        <v>856287267.77102733</v>
      </c>
      <c r="S5" s="24">
        <v>41290138275.752869</v>
      </c>
      <c r="T5" s="24">
        <f t="shared" si="2"/>
        <v>619352074136.29297</v>
      </c>
      <c r="U5" s="23">
        <f t="shared" si="3"/>
        <v>1.3825533223008066E-3</v>
      </c>
      <c r="V5" s="23">
        <f t="shared" si="9"/>
        <v>4.6085110743360219E-4</v>
      </c>
      <c r="W5" s="23">
        <f t="shared" si="10"/>
        <v>4.1476599669024198E-3</v>
      </c>
    </row>
    <row r="6" spans="1:23" x14ac:dyDescent="0.25">
      <c r="A6" s="19" t="s">
        <v>24</v>
      </c>
      <c r="B6" s="19" t="s">
        <v>25</v>
      </c>
      <c r="C6" s="19" t="s">
        <v>18</v>
      </c>
      <c r="D6" s="19" t="s">
        <v>26</v>
      </c>
      <c r="E6" s="19" t="s">
        <v>232</v>
      </c>
      <c r="F6" s="19" t="s">
        <v>473</v>
      </c>
      <c r="G6" s="24">
        <v>55636</v>
      </c>
      <c r="H6" s="24">
        <v>60989</v>
      </c>
      <c r="I6" s="19">
        <v>62.3</v>
      </c>
      <c r="J6" s="24">
        <f t="shared" si="0"/>
        <v>22992.852999999999</v>
      </c>
      <c r="K6" s="36">
        <f t="shared" si="4"/>
        <v>22992.852999999999</v>
      </c>
      <c r="L6" s="23">
        <v>123.43837404437815</v>
      </c>
      <c r="M6" s="23">
        <v>123.43837404437815</v>
      </c>
      <c r="N6" s="24">
        <f t="shared" si="1"/>
        <v>2838200.3889614022</v>
      </c>
      <c r="O6" s="24">
        <f t="shared" si="5"/>
        <v>229170.49040668842</v>
      </c>
      <c r="P6" s="24">
        <f t="shared" si="6"/>
        <v>343755.73561003263</v>
      </c>
      <c r="Q6" s="24">
        <f t="shared" si="7"/>
        <v>3181956.1245714347</v>
      </c>
      <c r="R6" s="36">
        <f t="shared" si="8"/>
        <v>3181956.1245714347</v>
      </c>
      <c r="S6" s="24" t="s">
        <v>232</v>
      </c>
      <c r="T6" s="24" t="e">
        <f t="shared" si="2"/>
        <v>#VALUE!</v>
      </c>
      <c r="U6" s="23" t="e">
        <f t="shared" si="3"/>
        <v>#VALUE!</v>
      </c>
      <c r="V6" s="23" t="e">
        <f t="shared" si="9"/>
        <v>#VALUE!</v>
      </c>
      <c r="W6" s="23" t="e">
        <f t="shared" si="10"/>
        <v>#VALUE!</v>
      </c>
    </row>
    <row r="7" spans="1:23" x14ac:dyDescent="0.25">
      <c r="A7" s="19" t="s">
        <v>27</v>
      </c>
      <c r="B7" s="19" t="s">
        <v>28</v>
      </c>
      <c r="C7" s="19" t="s">
        <v>29</v>
      </c>
      <c r="D7" s="19" t="s">
        <v>19</v>
      </c>
      <c r="E7" s="19" t="s">
        <v>232</v>
      </c>
      <c r="F7" s="19" t="s">
        <v>232</v>
      </c>
      <c r="G7" s="24">
        <v>77907</v>
      </c>
      <c r="H7" s="24">
        <v>88710</v>
      </c>
      <c r="I7" s="19">
        <v>100</v>
      </c>
      <c r="J7" s="24">
        <f t="shared" si="0"/>
        <v>0</v>
      </c>
      <c r="K7" s="36">
        <f t="shared" si="4"/>
        <v>0</v>
      </c>
      <c r="L7" s="23" t="s">
        <v>232</v>
      </c>
      <c r="M7" s="23" t="s">
        <v>232</v>
      </c>
      <c r="N7" s="24" t="e">
        <f t="shared" si="1"/>
        <v>#VALUE!</v>
      </c>
      <c r="O7" s="24" t="e">
        <f t="shared" si="5"/>
        <v>#VALUE!</v>
      </c>
      <c r="P7" s="24" t="e">
        <f t="shared" si="6"/>
        <v>#VALUE!</v>
      </c>
      <c r="Q7" s="24" t="e">
        <f t="shared" si="7"/>
        <v>#VALUE!</v>
      </c>
      <c r="R7" s="36">
        <f t="shared" si="8"/>
        <v>0</v>
      </c>
      <c r="S7" s="24" t="s">
        <v>232</v>
      </c>
      <c r="T7" s="24" t="e">
        <f t="shared" si="2"/>
        <v>#VALUE!</v>
      </c>
      <c r="U7" s="23" t="e">
        <f t="shared" si="3"/>
        <v>#VALUE!</v>
      </c>
      <c r="V7" s="23" t="e">
        <f t="shared" si="9"/>
        <v>#VALUE!</v>
      </c>
      <c r="W7" s="23" t="e">
        <f t="shared" si="10"/>
        <v>#VALUE!</v>
      </c>
    </row>
    <row r="8" spans="1:23" x14ac:dyDescent="0.25">
      <c r="A8" s="19" t="s">
        <v>30</v>
      </c>
      <c r="B8" s="19" t="s">
        <v>31</v>
      </c>
      <c r="C8" s="19" t="s">
        <v>18</v>
      </c>
      <c r="D8" s="19" t="s">
        <v>32</v>
      </c>
      <c r="E8" s="19" t="s">
        <v>467</v>
      </c>
      <c r="F8" s="19" t="s">
        <v>232</v>
      </c>
      <c r="G8" s="24">
        <v>19549124</v>
      </c>
      <c r="H8" s="24">
        <v>34783312</v>
      </c>
      <c r="I8" s="19">
        <v>57.2</v>
      </c>
      <c r="J8" s="24">
        <f t="shared" si="0"/>
        <v>14887257.535999998</v>
      </c>
      <c r="K8" s="36">
        <f t="shared" si="4"/>
        <v>14887257.535999998</v>
      </c>
      <c r="L8" s="23">
        <v>80.480089318943058</v>
      </c>
      <c r="M8" s="23" t="s">
        <v>232</v>
      </c>
      <c r="N8" s="24">
        <f t="shared" si="1"/>
        <v>1198127816.2113881</v>
      </c>
      <c r="O8" s="24">
        <f t="shared" si="5"/>
        <v>96742830.519988537</v>
      </c>
      <c r="P8" s="24">
        <f t="shared" si="6"/>
        <v>145114245.77998281</v>
      </c>
      <c r="Q8" s="24">
        <f t="shared" si="7"/>
        <v>1343242061.9913709</v>
      </c>
      <c r="R8" s="36">
        <f t="shared" si="8"/>
        <v>1343242061.9913709</v>
      </c>
      <c r="S8" s="24">
        <v>38084701465.664787</v>
      </c>
      <c r="T8" s="24">
        <f t="shared" si="2"/>
        <v>571270521984.9718</v>
      </c>
      <c r="U8" s="23">
        <f t="shared" si="3"/>
        <v>2.3513239530092663E-3</v>
      </c>
      <c r="V8" s="23">
        <f t="shared" si="9"/>
        <v>7.8377465100308878E-4</v>
      </c>
      <c r="W8" s="23">
        <f t="shared" si="10"/>
        <v>7.0539718590277986E-3</v>
      </c>
    </row>
    <row r="9" spans="1:23" s="31" customFormat="1" x14ac:dyDescent="0.25">
      <c r="A9" s="31" t="s">
        <v>33</v>
      </c>
      <c r="B9" s="31" t="s">
        <v>34</v>
      </c>
      <c r="C9" s="31" t="s">
        <v>29</v>
      </c>
      <c r="D9" s="31" t="s">
        <v>35</v>
      </c>
      <c r="E9" s="31" t="s">
        <v>468</v>
      </c>
      <c r="F9" s="19" t="s">
        <v>232</v>
      </c>
      <c r="G9" s="30">
        <v>87233</v>
      </c>
      <c r="H9" s="30">
        <v>104982</v>
      </c>
      <c r="I9" s="31">
        <v>91.4</v>
      </c>
      <c r="J9" s="24">
        <f t="shared" si="0"/>
        <v>9028.4519999999957</v>
      </c>
      <c r="K9" s="36">
        <f t="shared" si="4"/>
        <v>9028.4519999999957</v>
      </c>
      <c r="L9" s="29">
        <v>271.17101589161985</v>
      </c>
      <c r="M9" s="29">
        <v>271.17101589161985</v>
      </c>
      <c r="N9" s="24">
        <f t="shared" si="1"/>
        <v>2448254.5007687258</v>
      </c>
      <c r="O9" s="24">
        <f t="shared" si="5"/>
        <v>197684.30966457076</v>
      </c>
      <c r="P9" s="24">
        <f t="shared" si="6"/>
        <v>296526.46449685615</v>
      </c>
      <c r="Q9" s="24">
        <f t="shared" si="7"/>
        <v>2744780.9652655818</v>
      </c>
      <c r="R9" s="36">
        <f t="shared" si="8"/>
        <v>2744780.9652655818</v>
      </c>
      <c r="S9" s="30">
        <v>0</v>
      </c>
      <c r="T9" s="24">
        <f t="shared" si="2"/>
        <v>0</v>
      </c>
      <c r="U9" s="23" t="e">
        <f t="shared" si="3"/>
        <v>#DIV/0!</v>
      </c>
      <c r="V9" s="23" t="e">
        <f t="shared" si="9"/>
        <v>#DIV/0!</v>
      </c>
      <c r="W9" s="23" t="e">
        <f t="shared" si="10"/>
        <v>#DIV/0!</v>
      </c>
    </row>
    <row r="10" spans="1:23" x14ac:dyDescent="0.25">
      <c r="A10" s="19" t="s">
        <v>36</v>
      </c>
      <c r="B10" s="19" t="s">
        <v>37</v>
      </c>
      <c r="C10" s="19" t="s">
        <v>18</v>
      </c>
      <c r="D10" s="19" t="s">
        <v>35</v>
      </c>
      <c r="E10" s="19" t="s">
        <v>468</v>
      </c>
      <c r="F10" s="19" t="s">
        <v>232</v>
      </c>
      <c r="G10" s="24">
        <v>40374224</v>
      </c>
      <c r="H10" s="24">
        <v>46859381</v>
      </c>
      <c r="I10" s="19">
        <v>96.4</v>
      </c>
      <c r="J10" s="24">
        <f t="shared" si="0"/>
        <v>1686937.7159999963</v>
      </c>
      <c r="K10" s="36">
        <f t="shared" si="4"/>
        <v>1686937.7159999963</v>
      </c>
      <c r="L10" s="23">
        <v>303.49932705248989</v>
      </c>
      <c r="M10" s="23" t="s">
        <v>232</v>
      </c>
      <c r="N10" s="24">
        <f t="shared" si="1"/>
        <v>511984461.58546317</v>
      </c>
      <c r="O10" s="24">
        <f t="shared" si="5"/>
        <v>41340185.350718223</v>
      </c>
      <c r="P10" s="24">
        <f t="shared" si="6"/>
        <v>62010278.026077338</v>
      </c>
      <c r="Q10" s="24">
        <f t="shared" si="7"/>
        <v>573994739.61154056</v>
      </c>
      <c r="R10" s="36">
        <f t="shared" si="8"/>
        <v>573994739.61154056</v>
      </c>
      <c r="S10" s="24">
        <v>23990886710.821796</v>
      </c>
      <c r="T10" s="24">
        <f t="shared" si="2"/>
        <v>359863300662.32697</v>
      </c>
      <c r="U10" s="23">
        <f t="shared" si="3"/>
        <v>1.5950354997442237E-3</v>
      </c>
      <c r="V10" s="23">
        <f t="shared" si="9"/>
        <v>5.3167849991474128E-4</v>
      </c>
      <c r="W10" s="23">
        <f t="shared" si="10"/>
        <v>4.7851064992326716E-3</v>
      </c>
    </row>
    <row r="11" spans="1:23" x14ac:dyDescent="0.25">
      <c r="A11" s="19" t="s">
        <v>38</v>
      </c>
      <c r="B11" s="19" t="s">
        <v>39</v>
      </c>
      <c r="C11" s="19" t="s">
        <v>40</v>
      </c>
      <c r="D11" s="19" t="s">
        <v>19</v>
      </c>
      <c r="E11" s="19" t="s">
        <v>469</v>
      </c>
      <c r="F11" s="19" t="s">
        <v>232</v>
      </c>
      <c r="G11" s="24">
        <v>2963496</v>
      </c>
      <c r="H11" s="24">
        <v>2969807</v>
      </c>
      <c r="I11" s="19">
        <v>90.2</v>
      </c>
      <c r="J11" s="24">
        <f t="shared" si="0"/>
        <v>291041.08599999995</v>
      </c>
      <c r="K11" s="36">
        <f t="shared" si="4"/>
        <v>291041.08599999995</v>
      </c>
      <c r="L11" s="23">
        <v>198.92473118279571</v>
      </c>
      <c r="M11" s="23" t="s">
        <v>232</v>
      </c>
      <c r="N11" s="24">
        <f t="shared" si="1"/>
        <v>57895269.795698918</v>
      </c>
      <c r="O11" s="24">
        <f t="shared" si="5"/>
        <v>4674753.5596537087</v>
      </c>
      <c r="P11" s="24">
        <f t="shared" si="6"/>
        <v>7012130.3394805631</v>
      </c>
      <c r="Q11" s="24">
        <f t="shared" si="7"/>
        <v>64907400.135179482</v>
      </c>
      <c r="R11" s="36">
        <f t="shared" si="8"/>
        <v>64907400.135179482</v>
      </c>
      <c r="S11" s="24">
        <v>346885961.37184739</v>
      </c>
      <c r="T11" s="24">
        <f t="shared" si="2"/>
        <v>5203289420.5777111</v>
      </c>
      <c r="U11" s="23">
        <f t="shared" si="3"/>
        <v>1.2474301329172065E-2</v>
      </c>
      <c r="V11" s="23">
        <f t="shared" si="9"/>
        <v>4.1581004430573552E-3</v>
      </c>
      <c r="W11" s="23">
        <f t="shared" si="10"/>
        <v>3.7422903987516194E-2</v>
      </c>
    </row>
    <row r="12" spans="1:23" x14ac:dyDescent="0.25">
      <c r="A12" s="19" t="s">
        <v>41</v>
      </c>
      <c r="B12" s="19" t="s">
        <v>42</v>
      </c>
      <c r="C12" s="19" t="s">
        <v>29</v>
      </c>
      <c r="D12" s="19" t="s">
        <v>35</v>
      </c>
      <c r="E12" s="19" t="s">
        <v>468</v>
      </c>
      <c r="F12" s="19" t="s">
        <v>232</v>
      </c>
      <c r="G12" s="24">
        <v>101597</v>
      </c>
      <c r="H12" s="24">
        <v>107734</v>
      </c>
      <c r="I12" s="19">
        <v>97.7</v>
      </c>
      <c r="J12" s="24">
        <f t="shared" si="0"/>
        <v>2477.8820000000023</v>
      </c>
      <c r="K12" s="36">
        <f t="shared" si="4"/>
        <v>2477.8820000000023</v>
      </c>
      <c r="L12" s="23">
        <v>271.17101589161985</v>
      </c>
      <c r="M12" s="23">
        <v>271.17101589161985</v>
      </c>
      <c r="N12" s="24">
        <f t="shared" si="1"/>
        <v>671929.77919955936</v>
      </c>
      <c r="O12" s="24">
        <f t="shared" si="5"/>
        <v>54254.97002146842</v>
      </c>
      <c r="P12" s="24">
        <f t="shared" si="6"/>
        <v>81382.455032202619</v>
      </c>
      <c r="Q12" s="24">
        <f t="shared" si="7"/>
        <v>753312.23423176201</v>
      </c>
      <c r="R12" s="36">
        <f t="shared" si="8"/>
        <v>753312.23423176201</v>
      </c>
      <c r="S12" s="24">
        <v>93353.484085037111</v>
      </c>
      <c r="T12" s="24">
        <f t="shared" si="2"/>
        <v>1400302.2612755566</v>
      </c>
      <c r="U12" s="23">
        <f t="shared" si="3"/>
        <v>0.53796402038625468</v>
      </c>
      <c r="V12" s="23">
        <f t="shared" si="9"/>
        <v>0.17932134012875156</v>
      </c>
      <c r="W12" s="23">
        <f t="shared" si="10"/>
        <v>1.6138920611587637</v>
      </c>
    </row>
    <row r="13" spans="1:23" x14ac:dyDescent="0.25">
      <c r="A13" s="19" t="s">
        <v>43</v>
      </c>
      <c r="B13" s="19" t="s">
        <v>44</v>
      </c>
      <c r="C13" s="19" t="s">
        <v>45</v>
      </c>
      <c r="D13" s="19" t="s">
        <v>26</v>
      </c>
      <c r="E13" s="19" t="s">
        <v>232</v>
      </c>
      <c r="F13" s="19" t="s">
        <v>232</v>
      </c>
      <c r="G13" s="24">
        <v>22031800</v>
      </c>
      <c r="H13" s="24">
        <v>28335501</v>
      </c>
      <c r="I13" s="19">
        <v>100</v>
      </c>
      <c r="J13" s="24">
        <f t="shared" si="0"/>
        <v>0</v>
      </c>
      <c r="K13" s="36">
        <f t="shared" si="4"/>
        <v>0</v>
      </c>
      <c r="L13" s="23" t="s">
        <v>232</v>
      </c>
      <c r="M13" s="23" t="s">
        <v>232</v>
      </c>
      <c r="N13" s="24" t="e">
        <f t="shared" si="1"/>
        <v>#VALUE!</v>
      </c>
      <c r="O13" s="24" t="e">
        <f t="shared" si="5"/>
        <v>#VALUE!</v>
      </c>
      <c r="P13" s="24" t="e">
        <f t="shared" si="6"/>
        <v>#VALUE!</v>
      </c>
      <c r="Q13" s="24" t="e">
        <f t="shared" si="7"/>
        <v>#VALUE!</v>
      </c>
      <c r="R13" s="36">
        <f t="shared" si="8"/>
        <v>0</v>
      </c>
      <c r="S13" s="24">
        <v>111498672067.56895</v>
      </c>
      <c r="T13" s="24">
        <f t="shared" si="2"/>
        <v>1672480081013.5344</v>
      </c>
      <c r="U13" s="23" t="e">
        <f t="shared" si="3"/>
        <v>#VALUE!</v>
      </c>
      <c r="V13" s="23" t="e">
        <f t="shared" si="9"/>
        <v>#VALUE!</v>
      </c>
      <c r="W13" s="23" t="e">
        <f t="shared" si="10"/>
        <v>#VALUE!</v>
      </c>
    </row>
    <row r="14" spans="1:23" x14ac:dyDescent="0.25">
      <c r="A14" s="19" t="s">
        <v>46</v>
      </c>
      <c r="B14" s="19" t="s">
        <v>47</v>
      </c>
      <c r="C14" s="19" t="s">
        <v>45</v>
      </c>
      <c r="D14" s="19" t="s">
        <v>19</v>
      </c>
      <c r="E14" s="19" t="s">
        <v>232</v>
      </c>
      <c r="F14" s="19" t="s">
        <v>232</v>
      </c>
      <c r="G14" s="24">
        <v>8389771</v>
      </c>
      <c r="H14" s="24">
        <v>9005424</v>
      </c>
      <c r="I14" s="19">
        <v>100</v>
      </c>
      <c r="J14" s="24">
        <f t="shared" si="0"/>
        <v>0</v>
      </c>
      <c r="K14" s="36">
        <f t="shared" si="4"/>
        <v>0</v>
      </c>
      <c r="L14" s="23" t="s">
        <v>232</v>
      </c>
      <c r="M14" s="23" t="s">
        <v>232</v>
      </c>
      <c r="N14" s="24" t="e">
        <f t="shared" si="1"/>
        <v>#VALUE!</v>
      </c>
      <c r="O14" s="24" t="e">
        <f t="shared" si="5"/>
        <v>#VALUE!</v>
      </c>
      <c r="P14" s="24" t="e">
        <f t="shared" si="6"/>
        <v>#VALUE!</v>
      </c>
      <c r="Q14" s="24" t="e">
        <f t="shared" si="7"/>
        <v>#VALUE!</v>
      </c>
      <c r="R14" s="36">
        <f t="shared" si="8"/>
        <v>0</v>
      </c>
      <c r="S14" s="24">
        <v>1711085863.7734871</v>
      </c>
      <c r="T14" s="24">
        <f t="shared" si="2"/>
        <v>25666287956.602306</v>
      </c>
      <c r="U14" s="23" t="e">
        <f t="shared" si="3"/>
        <v>#VALUE!</v>
      </c>
      <c r="V14" s="23" t="e">
        <f t="shared" si="9"/>
        <v>#VALUE!</v>
      </c>
      <c r="W14" s="23" t="e">
        <f t="shared" si="10"/>
        <v>#VALUE!</v>
      </c>
    </row>
    <row r="15" spans="1:23" x14ac:dyDescent="0.25">
      <c r="A15" s="19" t="s">
        <v>48</v>
      </c>
      <c r="B15" s="19" t="s">
        <v>49</v>
      </c>
      <c r="C15" s="19" t="s">
        <v>18</v>
      </c>
      <c r="D15" s="19" t="s">
        <v>19</v>
      </c>
      <c r="E15" s="19" t="s">
        <v>469</v>
      </c>
      <c r="F15" s="19" t="s">
        <v>232</v>
      </c>
      <c r="G15" s="24">
        <v>9054332</v>
      </c>
      <c r="H15" s="24">
        <v>10474377</v>
      </c>
      <c r="I15" s="19">
        <v>82</v>
      </c>
      <c r="J15" s="24">
        <f t="shared" si="0"/>
        <v>1885387.8600000006</v>
      </c>
      <c r="K15" s="36">
        <f t="shared" si="4"/>
        <v>1885387.8600000006</v>
      </c>
      <c r="L15" s="23">
        <v>234.11371237458195</v>
      </c>
      <c r="M15" s="23" t="s">
        <v>232</v>
      </c>
      <c r="N15" s="24">
        <f t="shared" si="1"/>
        <v>441395151.1705687</v>
      </c>
      <c r="O15" s="24">
        <f t="shared" si="5"/>
        <v>35640451.481267571</v>
      </c>
      <c r="P15" s="24">
        <f t="shared" si="6"/>
        <v>53460677.221901357</v>
      </c>
      <c r="Q15" s="24">
        <f t="shared" si="7"/>
        <v>494855828.39247006</v>
      </c>
      <c r="R15" s="36">
        <f t="shared" si="8"/>
        <v>494855828.39247006</v>
      </c>
      <c r="S15" s="24">
        <v>24407648660.104939</v>
      </c>
      <c r="T15" s="24">
        <f t="shared" si="2"/>
        <v>366114729901.5741</v>
      </c>
      <c r="U15" s="23">
        <f t="shared" si="3"/>
        <v>1.3516414063031734E-3</v>
      </c>
      <c r="V15" s="23">
        <f t="shared" si="9"/>
        <v>4.5054713543439111E-4</v>
      </c>
      <c r="W15" s="23">
        <f t="shared" si="10"/>
        <v>4.0549242189095195E-3</v>
      </c>
    </row>
    <row r="16" spans="1:23" x14ac:dyDescent="0.25">
      <c r="A16" s="19" t="s">
        <v>50</v>
      </c>
      <c r="B16" s="19" t="s">
        <v>51</v>
      </c>
      <c r="C16" s="19" t="s">
        <v>29</v>
      </c>
      <c r="D16" s="19" t="s">
        <v>35</v>
      </c>
      <c r="E16" s="19" t="s">
        <v>468</v>
      </c>
      <c r="F16" s="19" t="s">
        <v>232</v>
      </c>
      <c r="G16" s="24">
        <v>360498</v>
      </c>
      <c r="H16" s="24">
        <v>447410</v>
      </c>
      <c r="I16" s="19">
        <v>91.4</v>
      </c>
      <c r="J16" s="24">
        <f t="shared" si="0"/>
        <v>38477.259999999987</v>
      </c>
      <c r="K16" s="36">
        <f t="shared" si="4"/>
        <v>38477.259999999987</v>
      </c>
      <c r="L16" s="23">
        <v>271.17101589161985</v>
      </c>
      <c r="M16" s="23">
        <v>271.17101589161985</v>
      </c>
      <c r="N16" s="24">
        <f t="shared" si="1"/>
        <v>10433917.682925986</v>
      </c>
      <c r="O16" s="24">
        <f t="shared" si="5"/>
        <v>842486.68330785877</v>
      </c>
      <c r="P16" s="24">
        <f t="shared" si="6"/>
        <v>1263730.0249617882</v>
      </c>
      <c r="Q16" s="24">
        <f t="shared" si="7"/>
        <v>11697647.707887774</v>
      </c>
      <c r="R16" s="36">
        <f t="shared" si="8"/>
        <v>11697647.707887774</v>
      </c>
      <c r="S16" s="24">
        <v>2651920.615148271</v>
      </c>
      <c r="T16" s="24">
        <f t="shared" si="2"/>
        <v>39778809.227224067</v>
      </c>
      <c r="U16" s="23">
        <f t="shared" si="3"/>
        <v>0.29406731712527145</v>
      </c>
      <c r="V16" s="23">
        <f t="shared" si="9"/>
        <v>9.8022439041757156E-2</v>
      </c>
      <c r="W16" s="23">
        <f t="shared" si="10"/>
        <v>0.88220195137581436</v>
      </c>
    </row>
    <row r="17" spans="1:23" x14ac:dyDescent="0.25">
      <c r="A17" s="19" t="s">
        <v>52</v>
      </c>
      <c r="B17" s="19" t="s">
        <v>53</v>
      </c>
      <c r="C17" s="19" t="s">
        <v>29</v>
      </c>
      <c r="D17" s="19" t="s">
        <v>22</v>
      </c>
      <c r="E17" s="19" t="s">
        <v>232</v>
      </c>
      <c r="F17" s="19" t="s">
        <v>232</v>
      </c>
      <c r="G17" s="24">
        <v>1251513</v>
      </c>
      <c r="H17" s="24">
        <v>1641988</v>
      </c>
      <c r="I17" s="19">
        <v>99.2</v>
      </c>
      <c r="J17" s="24">
        <f t="shared" si="0"/>
        <v>13135.904000000011</v>
      </c>
      <c r="K17" s="36">
        <f t="shared" si="4"/>
        <v>13135.904000000011</v>
      </c>
      <c r="L17" s="23" t="s">
        <v>232</v>
      </c>
      <c r="M17" s="23" t="s">
        <v>232</v>
      </c>
      <c r="N17" s="24" t="e">
        <f t="shared" si="1"/>
        <v>#VALUE!</v>
      </c>
      <c r="O17" s="24" t="e">
        <f t="shared" si="5"/>
        <v>#VALUE!</v>
      </c>
      <c r="P17" s="24" t="e">
        <f t="shared" si="6"/>
        <v>#VALUE!</v>
      </c>
      <c r="Q17" s="24" t="e">
        <f t="shared" si="7"/>
        <v>#VALUE!</v>
      </c>
      <c r="R17" s="36">
        <f t="shared" si="8"/>
        <v>0</v>
      </c>
      <c r="S17" s="24">
        <v>5828990079.2173672</v>
      </c>
      <c r="T17" s="24">
        <f t="shared" si="2"/>
        <v>87434851188.260513</v>
      </c>
      <c r="U17" s="23" t="e">
        <f t="shared" si="3"/>
        <v>#VALUE!</v>
      </c>
      <c r="V17" s="23" t="e">
        <f t="shared" si="9"/>
        <v>#VALUE!</v>
      </c>
      <c r="W17" s="23" t="e">
        <f t="shared" si="10"/>
        <v>#VALUE!</v>
      </c>
    </row>
    <row r="18" spans="1:23" x14ac:dyDescent="0.25">
      <c r="A18" s="19" t="s">
        <v>55</v>
      </c>
      <c r="B18" s="19" t="s">
        <v>56</v>
      </c>
      <c r="C18" s="19" t="s">
        <v>14</v>
      </c>
      <c r="D18" s="19" t="s">
        <v>15</v>
      </c>
      <c r="E18" s="19" t="s">
        <v>465</v>
      </c>
      <c r="F18" s="19" t="s">
        <v>232</v>
      </c>
      <c r="G18" s="24">
        <v>151125475</v>
      </c>
      <c r="H18" s="24">
        <v>185063630</v>
      </c>
      <c r="I18" s="19">
        <v>55</v>
      </c>
      <c r="J18" s="24">
        <f t="shared" si="0"/>
        <v>83278633.499999985</v>
      </c>
      <c r="K18" s="36">
        <f t="shared" si="4"/>
        <v>83278633.499999985</v>
      </c>
      <c r="L18" s="23">
        <v>62.281632701732626</v>
      </c>
      <c r="M18" s="23" t="s">
        <v>232</v>
      </c>
      <c r="N18" s="24">
        <f t="shared" si="1"/>
        <v>5186729263.5492048</v>
      </c>
      <c r="O18" s="24">
        <f t="shared" si="5"/>
        <v>418802454.38528055</v>
      </c>
      <c r="P18" s="24">
        <f t="shared" si="6"/>
        <v>628203681.57792079</v>
      </c>
      <c r="Q18" s="24">
        <f t="shared" si="7"/>
        <v>5814932945.1271257</v>
      </c>
      <c r="R18" s="36">
        <f t="shared" si="8"/>
        <v>5814932945.1271257</v>
      </c>
      <c r="S18" s="24">
        <v>5122872663.1918049</v>
      </c>
      <c r="T18" s="24">
        <f t="shared" si="2"/>
        <v>76843089947.877075</v>
      </c>
      <c r="U18" s="23">
        <f t="shared" si="3"/>
        <v>7.5672815201359211E-2</v>
      </c>
      <c r="V18" s="23">
        <f t="shared" si="9"/>
        <v>2.5224271733786406E-2</v>
      </c>
      <c r="W18" s="23">
        <f t="shared" si="10"/>
        <v>0.22701844560407766</v>
      </c>
    </row>
    <row r="19" spans="1:23" x14ac:dyDescent="0.25">
      <c r="A19" s="19" t="s">
        <v>57</v>
      </c>
      <c r="B19" s="19" t="s">
        <v>58</v>
      </c>
      <c r="C19" s="19" t="s">
        <v>29</v>
      </c>
      <c r="D19" s="19" t="s">
        <v>35</v>
      </c>
      <c r="E19" s="19" t="s">
        <v>468</v>
      </c>
      <c r="F19" s="19" t="s">
        <v>232</v>
      </c>
      <c r="G19" s="24">
        <v>280396</v>
      </c>
      <c r="H19" s="24">
        <v>305709</v>
      </c>
      <c r="I19" s="19" t="s">
        <v>232</v>
      </c>
      <c r="J19" s="24" t="e">
        <f t="shared" si="0"/>
        <v>#VALUE!</v>
      </c>
      <c r="K19" s="36">
        <f t="shared" si="4"/>
        <v>0</v>
      </c>
      <c r="L19" s="23">
        <v>375</v>
      </c>
      <c r="M19" s="23" t="s">
        <v>232</v>
      </c>
      <c r="N19" s="24" t="e">
        <f t="shared" si="1"/>
        <v>#VALUE!</v>
      </c>
      <c r="O19" s="24" t="e">
        <f t="shared" si="5"/>
        <v>#VALUE!</v>
      </c>
      <c r="P19" s="24" t="e">
        <f t="shared" si="6"/>
        <v>#VALUE!</v>
      </c>
      <c r="Q19" s="24" t="e">
        <f t="shared" si="7"/>
        <v>#VALUE!</v>
      </c>
      <c r="R19" s="36">
        <f t="shared" si="8"/>
        <v>0</v>
      </c>
      <c r="S19" s="24">
        <v>1055471.7325739102</v>
      </c>
      <c r="T19" s="24">
        <f t="shared" si="2"/>
        <v>15832075.988608653</v>
      </c>
      <c r="U19" s="23" t="e">
        <f t="shared" si="3"/>
        <v>#VALUE!</v>
      </c>
      <c r="V19" s="23" t="e">
        <f t="shared" si="9"/>
        <v>#VALUE!</v>
      </c>
      <c r="W19" s="23" t="e">
        <f t="shared" si="10"/>
        <v>#VALUE!</v>
      </c>
    </row>
    <row r="20" spans="1:23" x14ac:dyDescent="0.25">
      <c r="A20" s="19" t="s">
        <v>59</v>
      </c>
      <c r="B20" s="19" t="s">
        <v>60</v>
      </c>
      <c r="C20" s="19" t="s">
        <v>18</v>
      </c>
      <c r="D20" s="19" t="s">
        <v>19</v>
      </c>
      <c r="E20" s="19" t="s">
        <v>232</v>
      </c>
      <c r="F20" s="19" t="s">
        <v>471</v>
      </c>
      <c r="G20" s="24">
        <v>9490000</v>
      </c>
      <c r="H20" s="24">
        <v>8488334</v>
      </c>
      <c r="I20" s="19">
        <v>94.4</v>
      </c>
      <c r="J20" s="24">
        <f t="shared" si="0"/>
        <v>475346.7039999995</v>
      </c>
      <c r="K20" s="36">
        <f t="shared" si="4"/>
        <v>475346.7039999995</v>
      </c>
      <c r="L20" s="23">
        <v>76.733547934264351</v>
      </c>
      <c r="M20" s="23">
        <v>76.733547934264351</v>
      </c>
      <c r="N20" s="24">
        <f t="shared" si="1"/>
        <v>36475039.096778527</v>
      </c>
      <c r="O20" s="24">
        <f t="shared" si="5"/>
        <v>2945177.0318693821</v>
      </c>
      <c r="P20" s="24">
        <f t="shared" si="6"/>
        <v>4417765.5478040725</v>
      </c>
      <c r="Q20" s="24">
        <f t="shared" si="7"/>
        <v>40892804.644582599</v>
      </c>
      <c r="R20" s="36">
        <f t="shared" si="8"/>
        <v>40892804.644582599</v>
      </c>
      <c r="S20" s="24">
        <v>1379214938.7502549</v>
      </c>
      <c r="T20" s="24">
        <f t="shared" si="2"/>
        <v>20688224081.253822</v>
      </c>
      <c r="U20" s="23">
        <f t="shared" si="3"/>
        <v>1.9766222796105885E-3</v>
      </c>
      <c r="V20" s="23">
        <f t="shared" si="9"/>
        <v>6.5887409320352947E-4</v>
      </c>
      <c r="W20" s="23">
        <f t="shared" si="10"/>
        <v>5.9298668388317651E-3</v>
      </c>
    </row>
    <row r="21" spans="1:23" x14ac:dyDescent="0.25">
      <c r="A21" s="19" t="s">
        <v>61</v>
      </c>
      <c r="B21" s="19" t="s">
        <v>62</v>
      </c>
      <c r="C21" s="19" t="s">
        <v>45</v>
      </c>
      <c r="D21" s="19" t="s">
        <v>19</v>
      </c>
      <c r="E21" s="19" t="s">
        <v>232</v>
      </c>
      <c r="F21" s="19" t="s">
        <v>232</v>
      </c>
      <c r="G21" s="24">
        <v>10920272</v>
      </c>
      <c r="H21" s="24">
        <v>11664194</v>
      </c>
      <c r="I21" s="19">
        <v>100</v>
      </c>
      <c r="J21" s="24">
        <f t="shared" si="0"/>
        <v>0</v>
      </c>
      <c r="K21" s="36">
        <f t="shared" si="4"/>
        <v>0</v>
      </c>
      <c r="L21" s="23" t="s">
        <v>232</v>
      </c>
      <c r="M21" s="23" t="s">
        <v>232</v>
      </c>
      <c r="N21" s="24" t="e">
        <f t="shared" si="1"/>
        <v>#VALUE!</v>
      </c>
      <c r="O21" s="24" t="e">
        <f t="shared" si="5"/>
        <v>#VALUE!</v>
      </c>
      <c r="P21" s="24" t="e">
        <f t="shared" si="6"/>
        <v>#VALUE!</v>
      </c>
      <c r="Q21" s="24" t="e">
        <f t="shared" si="7"/>
        <v>#VALUE!</v>
      </c>
      <c r="R21" s="36">
        <f t="shared" si="8"/>
        <v>0</v>
      </c>
      <c r="S21" s="24">
        <v>306181202.30001646</v>
      </c>
      <c r="T21" s="24">
        <f t="shared" si="2"/>
        <v>4592718034.500247</v>
      </c>
      <c r="U21" s="23" t="e">
        <f t="shared" si="3"/>
        <v>#VALUE!</v>
      </c>
      <c r="V21" s="23" t="e">
        <f t="shared" si="9"/>
        <v>#VALUE!</v>
      </c>
      <c r="W21" s="23" t="e">
        <f t="shared" si="10"/>
        <v>#VALUE!</v>
      </c>
    </row>
    <row r="22" spans="1:23" x14ac:dyDescent="0.25">
      <c r="A22" s="19" t="s">
        <v>63</v>
      </c>
      <c r="B22" s="19" t="s">
        <v>64</v>
      </c>
      <c r="C22" s="19" t="s">
        <v>18</v>
      </c>
      <c r="D22" s="19" t="s">
        <v>35</v>
      </c>
      <c r="E22" s="19" t="s">
        <v>468</v>
      </c>
      <c r="F22" s="19" t="s">
        <v>232</v>
      </c>
      <c r="G22" s="24">
        <v>308595</v>
      </c>
      <c r="H22" s="24">
        <v>461277</v>
      </c>
      <c r="I22" s="19">
        <v>89.2</v>
      </c>
      <c r="J22" s="24">
        <f t="shared" si="0"/>
        <v>49817.91599999999</v>
      </c>
      <c r="K22" s="36">
        <f t="shared" si="4"/>
        <v>49817.91599999999</v>
      </c>
      <c r="L22" s="23">
        <v>193.54838709677421</v>
      </c>
      <c r="M22" s="23" t="s">
        <v>232</v>
      </c>
      <c r="N22" s="24">
        <f t="shared" si="1"/>
        <v>9642177.2903225794</v>
      </c>
      <c r="O22" s="24">
        <f t="shared" si="5"/>
        <v>778557.60530709662</v>
      </c>
      <c r="P22" s="24">
        <f t="shared" si="6"/>
        <v>1167836.4079606449</v>
      </c>
      <c r="Q22" s="24">
        <f t="shared" si="7"/>
        <v>10810013.698283225</v>
      </c>
      <c r="R22" s="36">
        <f t="shared" si="8"/>
        <v>10810013.698283225</v>
      </c>
      <c r="S22" s="24">
        <v>14107420.288951172</v>
      </c>
      <c r="T22" s="24">
        <f t="shared" si="2"/>
        <v>211611304.33426759</v>
      </c>
      <c r="U22" s="23">
        <f t="shared" si="3"/>
        <v>5.1084292175655237E-2</v>
      </c>
      <c r="V22" s="23">
        <f t="shared" si="9"/>
        <v>1.7028097391885079E-2</v>
      </c>
      <c r="W22" s="23">
        <f t="shared" si="10"/>
        <v>0.15325287652696573</v>
      </c>
    </row>
    <row r="23" spans="1:23" x14ac:dyDescent="0.25">
      <c r="A23" s="19" t="s">
        <v>65</v>
      </c>
      <c r="B23" s="19" t="s">
        <v>66</v>
      </c>
      <c r="C23" s="19" t="s">
        <v>14</v>
      </c>
      <c r="D23" s="19" t="s">
        <v>32</v>
      </c>
      <c r="E23" s="19" t="s">
        <v>467</v>
      </c>
      <c r="F23" s="19" t="s">
        <v>232</v>
      </c>
      <c r="G23" s="24">
        <v>9509798</v>
      </c>
      <c r="H23" s="24">
        <v>15506762</v>
      </c>
      <c r="I23" s="19">
        <v>13.7</v>
      </c>
      <c r="J23" s="24">
        <f t="shared" si="0"/>
        <v>13382335.606000001</v>
      </c>
      <c r="K23" s="36">
        <f t="shared" si="4"/>
        <v>13382335.606000001</v>
      </c>
      <c r="L23" s="23">
        <v>133.76540586485339</v>
      </c>
      <c r="M23" s="23" t="s">
        <v>232</v>
      </c>
      <c r="N23" s="24">
        <f t="shared" si="1"/>
        <v>1790093553.7562687</v>
      </c>
      <c r="O23" s="24">
        <f t="shared" si="5"/>
        <v>144541103.99804991</v>
      </c>
      <c r="P23" s="24">
        <f t="shared" si="6"/>
        <v>216811655.99707487</v>
      </c>
      <c r="Q23" s="24">
        <f t="shared" si="7"/>
        <v>2006905209.7533436</v>
      </c>
      <c r="R23" s="36">
        <f t="shared" si="8"/>
        <v>2006905209.7533436</v>
      </c>
      <c r="S23" s="24">
        <v>358790876.29676551</v>
      </c>
      <c r="T23" s="24">
        <f t="shared" si="2"/>
        <v>5381863144.4514828</v>
      </c>
      <c r="U23" s="23">
        <f t="shared" si="3"/>
        <v>0.37290156882238717</v>
      </c>
      <c r="V23" s="23">
        <f t="shared" si="9"/>
        <v>0.12430052294079572</v>
      </c>
      <c r="W23" s="23">
        <f t="shared" si="10"/>
        <v>1.1187047064671616</v>
      </c>
    </row>
    <row r="24" spans="1:23" s="31" customFormat="1" x14ac:dyDescent="0.25">
      <c r="A24" s="31" t="s">
        <v>67</v>
      </c>
      <c r="B24" s="31" t="s">
        <v>68</v>
      </c>
      <c r="C24" s="31" t="s">
        <v>29</v>
      </c>
      <c r="D24" s="31" t="s">
        <v>69</v>
      </c>
      <c r="E24" s="19" t="s">
        <v>232</v>
      </c>
      <c r="F24" s="19" t="s">
        <v>232</v>
      </c>
      <c r="G24" s="30">
        <v>65124</v>
      </c>
      <c r="H24" s="30">
        <v>66524</v>
      </c>
      <c r="I24" s="19" t="s">
        <v>232</v>
      </c>
      <c r="J24" s="24" t="e">
        <f t="shared" si="0"/>
        <v>#VALUE!</v>
      </c>
      <c r="K24" s="36">
        <f t="shared" si="4"/>
        <v>0</v>
      </c>
      <c r="L24" s="23" t="s">
        <v>232</v>
      </c>
      <c r="M24" s="23" t="s">
        <v>232</v>
      </c>
      <c r="N24" s="24" t="e">
        <f t="shared" si="1"/>
        <v>#VALUE!</v>
      </c>
      <c r="O24" s="24" t="e">
        <f t="shared" si="5"/>
        <v>#VALUE!</v>
      </c>
      <c r="P24" s="24" t="e">
        <f t="shared" si="6"/>
        <v>#VALUE!</v>
      </c>
      <c r="Q24" s="24" t="e">
        <f t="shared" si="7"/>
        <v>#VALUE!</v>
      </c>
      <c r="R24" s="36">
        <f t="shared" si="8"/>
        <v>0</v>
      </c>
      <c r="S24" s="30">
        <v>0</v>
      </c>
      <c r="T24" s="24">
        <f t="shared" si="2"/>
        <v>0</v>
      </c>
      <c r="U24" s="23" t="e">
        <f t="shared" si="3"/>
        <v>#VALUE!</v>
      </c>
      <c r="V24" s="23" t="e">
        <f t="shared" si="9"/>
        <v>#VALUE!</v>
      </c>
      <c r="W24" s="23" t="e">
        <f t="shared" si="10"/>
        <v>#VALUE!</v>
      </c>
    </row>
    <row r="25" spans="1:23" x14ac:dyDescent="0.25">
      <c r="A25" s="19" t="s">
        <v>70</v>
      </c>
      <c r="B25" s="19" t="s">
        <v>71</v>
      </c>
      <c r="C25" s="19" t="s">
        <v>40</v>
      </c>
      <c r="D25" s="19" t="s">
        <v>15</v>
      </c>
      <c r="E25" s="19" t="s">
        <v>465</v>
      </c>
      <c r="F25" s="19" t="s">
        <v>232</v>
      </c>
      <c r="G25" s="24">
        <v>716939</v>
      </c>
      <c r="H25" s="24">
        <v>897761</v>
      </c>
      <c r="I25" s="19">
        <v>44.9</v>
      </c>
      <c r="J25" s="24">
        <f t="shared" si="0"/>
        <v>494666.31099999993</v>
      </c>
      <c r="K25" s="36">
        <f t="shared" si="4"/>
        <v>494666.31099999993</v>
      </c>
      <c r="L25" s="23">
        <v>53.452115812917597</v>
      </c>
      <c r="M25" s="23" t="s">
        <v>232</v>
      </c>
      <c r="N25" s="24">
        <f t="shared" si="1"/>
        <v>26440960.944320709</v>
      </c>
      <c r="O25" s="24">
        <f t="shared" si="5"/>
        <v>2134975.3914491753</v>
      </c>
      <c r="P25" s="24">
        <f t="shared" si="6"/>
        <v>3202463.0871737632</v>
      </c>
      <c r="Q25" s="24">
        <f t="shared" si="7"/>
        <v>29643424.031494472</v>
      </c>
      <c r="R25" s="36">
        <f t="shared" si="8"/>
        <v>29643424.031494472</v>
      </c>
      <c r="S25" s="24">
        <v>384755041.17597884</v>
      </c>
      <c r="T25" s="24">
        <f t="shared" si="2"/>
        <v>5771325617.6396828</v>
      </c>
      <c r="U25" s="23">
        <f t="shared" si="3"/>
        <v>5.1363284616780707E-3</v>
      </c>
      <c r="V25" s="23">
        <f t="shared" si="9"/>
        <v>1.7121094872260235E-3</v>
      </c>
      <c r="W25" s="23">
        <f t="shared" si="10"/>
        <v>1.5408985385034213E-2</v>
      </c>
    </row>
    <row r="26" spans="1:23" x14ac:dyDescent="0.25">
      <c r="A26" s="19" t="s">
        <v>72</v>
      </c>
      <c r="B26" s="19" t="s">
        <v>73</v>
      </c>
      <c r="C26" s="19" t="s">
        <v>40</v>
      </c>
      <c r="D26" s="19" t="s">
        <v>35</v>
      </c>
      <c r="E26" s="19" t="s">
        <v>468</v>
      </c>
      <c r="F26" s="19" t="s">
        <v>232</v>
      </c>
      <c r="G26" s="24">
        <v>10156601</v>
      </c>
      <c r="H26" s="24">
        <v>13665316</v>
      </c>
      <c r="I26" s="19">
        <v>45.4</v>
      </c>
      <c r="J26" s="24">
        <f t="shared" si="0"/>
        <v>7461262.5360000003</v>
      </c>
      <c r="K26" s="36">
        <f t="shared" si="4"/>
        <v>7461262.5360000003</v>
      </c>
      <c r="L26" s="23">
        <v>313.00415546321193</v>
      </c>
      <c r="M26" s="23" t="s">
        <v>232</v>
      </c>
      <c r="N26" s="24">
        <f t="shared" si="1"/>
        <v>2335406178.7699828</v>
      </c>
      <c r="O26" s="24">
        <f t="shared" si="5"/>
        <v>188572371.90478227</v>
      </c>
      <c r="P26" s="24">
        <f t="shared" si="6"/>
        <v>282858557.85717344</v>
      </c>
      <c r="Q26" s="24">
        <f t="shared" si="7"/>
        <v>2618264736.6271563</v>
      </c>
      <c r="R26" s="36">
        <f t="shared" si="8"/>
        <v>2618264736.6271563</v>
      </c>
      <c r="S26" s="24">
        <v>3943593093.8863621</v>
      </c>
      <c r="T26" s="24">
        <f t="shared" si="2"/>
        <v>59153896408.295433</v>
      </c>
      <c r="U26" s="23">
        <f t="shared" si="3"/>
        <v>4.4261915031855524E-2</v>
      </c>
      <c r="V26" s="23">
        <f t="shared" si="9"/>
        <v>1.4753971677285175E-2</v>
      </c>
      <c r="W26" s="23">
        <f t="shared" si="10"/>
        <v>0.13278574509556657</v>
      </c>
    </row>
    <row r="27" spans="1:23" x14ac:dyDescent="0.25">
      <c r="A27" s="19" t="s">
        <v>74</v>
      </c>
      <c r="B27" s="19" t="s">
        <v>75</v>
      </c>
      <c r="C27" s="19" t="s">
        <v>18</v>
      </c>
      <c r="D27" s="19" t="s">
        <v>19</v>
      </c>
      <c r="E27" s="19" t="s">
        <v>232</v>
      </c>
      <c r="F27" s="19" t="s">
        <v>471</v>
      </c>
      <c r="G27" s="24">
        <v>3845929</v>
      </c>
      <c r="H27" s="24">
        <v>3700255</v>
      </c>
      <c r="I27" s="19">
        <v>95.4</v>
      </c>
      <c r="J27" s="24">
        <f t="shared" si="0"/>
        <v>170211.72999999975</v>
      </c>
      <c r="K27" s="36">
        <f t="shared" si="4"/>
        <v>170211.72999999975</v>
      </c>
      <c r="L27" s="23">
        <v>76.733547934264351</v>
      </c>
      <c r="M27" s="23">
        <v>76.733547934264351</v>
      </c>
      <c r="N27" s="24">
        <f t="shared" si="1"/>
        <v>13060949.942929043</v>
      </c>
      <c r="O27" s="24">
        <f t="shared" si="5"/>
        <v>1054606.4031418054</v>
      </c>
      <c r="P27" s="24">
        <f t="shared" si="6"/>
        <v>1581909.6047127082</v>
      </c>
      <c r="Q27" s="24">
        <f t="shared" si="7"/>
        <v>14642859.54764175</v>
      </c>
      <c r="R27" s="36">
        <f t="shared" si="8"/>
        <v>14642859.54764175</v>
      </c>
      <c r="S27" s="24">
        <v>595625627.44246328</v>
      </c>
      <c r="T27" s="24">
        <f t="shared" si="2"/>
        <v>8934384411.6369495</v>
      </c>
      <c r="U27" s="23">
        <f t="shared" si="3"/>
        <v>1.6389332351280483E-3</v>
      </c>
      <c r="V27" s="23">
        <f t="shared" si="9"/>
        <v>5.4631107837601603E-4</v>
      </c>
      <c r="W27" s="23">
        <f t="shared" si="10"/>
        <v>4.9167997053841447E-3</v>
      </c>
    </row>
    <row r="28" spans="1:23" x14ac:dyDescent="0.25">
      <c r="A28" s="19" t="s">
        <v>76</v>
      </c>
      <c r="B28" s="19" t="s">
        <v>77</v>
      </c>
      <c r="C28" s="19" t="s">
        <v>18</v>
      </c>
      <c r="D28" s="19" t="s">
        <v>32</v>
      </c>
      <c r="E28" s="19" t="s">
        <v>467</v>
      </c>
      <c r="F28" s="19" t="s">
        <v>232</v>
      </c>
      <c r="G28" s="24">
        <v>1969341</v>
      </c>
      <c r="H28" s="24">
        <v>2347860</v>
      </c>
      <c r="I28" s="19">
        <v>63.8</v>
      </c>
      <c r="J28" s="24">
        <f t="shared" si="0"/>
        <v>849925.32</v>
      </c>
      <c r="K28" s="36">
        <f t="shared" si="4"/>
        <v>849925.32</v>
      </c>
      <c r="L28" s="23">
        <v>139.14027149321268</v>
      </c>
      <c r="M28" s="23" t="s">
        <v>232</v>
      </c>
      <c r="N28" s="24">
        <f t="shared" si="1"/>
        <v>118258839.77375565</v>
      </c>
      <c r="O28" s="24">
        <f t="shared" si="5"/>
        <v>9548810.0175318997</v>
      </c>
      <c r="P28" s="24">
        <f t="shared" si="6"/>
        <v>14323215.026297849</v>
      </c>
      <c r="Q28" s="24">
        <f t="shared" si="7"/>
        <v>132582054.80005351</v>
      </c>
      <c r="R28" s="36">
        <f t="shared" si="8"/>
        <v>132582054.80005351</v>
      </c>
      <c r="S28" s="24">
        <v>686157389.38852191</v>
      </c>
      <c r="T28" s="24">
        <f t="shared" si="2"/>
        <v>10292360840.827829</v>
      </c>
      <c r="U28" s="23">
        <f t="shared" si="3"/>
        <v>1.2881597997820463E-2</v>
      </c>
      <c r="V28" s="23">
        <f t="shared" si="9"/>
        <v>4.2938659992734877E-3</v>
      </c>
      <c r="W28" s="23">
        <f t="shared" si="10"/>
        <v>3.8644793993461393E-2</v>
      </c>
    </row>
    <row r="29" spans="1:23" x14ac:dyDescent="0.25">
      <c r="A29" s="19" t="s">
        <v>78</v>
      </c>
      <c r="B29" s="19" t="s">
        <v>79</v>
      </c>
      <c r="C29" s="19" t="s">
        <v>18</v>
      </c>
      <c r="D29" s="19" t="s">
        <v>35</v>
      </c>
      <c r="E29" s="19" t="s">
        <v>468</v>
      </c>
      <c r="F29" s="19" t="s">
        <v>232</v>
      </c>
      <c r="G29" s="24">
        <v>195210154</v>
      </c>
      <c r="H29" s="24">
        <v>222748294</v>
      </c>
      <c r="I29" s="19">
        <v>80.3</v>
      </c>
      <c r="J29" s="24">
        <f t="shared" si="0"/>
        <v>43881413.918000013</v>
      </c>
      <c r="K29" s="36">
        <f t="shared" si="4"/>
        <v>43881413.918000013</v>
      </c>
      <c r="L29" s="23">
        <v>255.31556920229659</v>
      </c>
      <c r="M29" s="23" t="s">
        <v>232</v>
      </c>
      <c r="N29" s="24">
        <f t="shared" si="1"/>
        <v>11203608171.875753</v>
      </c>
      <c r="O29" s="24">
        <f t="shared" si="5"/>
        <v>904635341.83810771</v>
      </c>
      <c r="P29" s="24">
        <f t="shared" si="6"/>
        <v>1356953012.7571616</v>
      </c>
      <c r="Q29" s="24">
        <f t="shared" si="7"/>
        <v>12560561184.632915</v>
      </c>
      <c r="R29" s="36">
        <f t="shared" si="8"/>
        <v>12560561184.632915</v>
      </c>
      <c r="S29" s="24">
        <v>131651047125.59688</v>
      </c>
      <c r="T29" s="24">
        <f t="shared" si="2"/>
        <v>1974765706883.9531</v>
      </c>
      <c r="U29" s="23">
        <f t="shared" si="3"/>
        <v>6.3605323613061078E-3</v>
      </c>
      <c r="V29" s="23">
        <f t="shared" si="9"/>
        <v>2.1201774537687027E-3</v>
      </c>
      <c r="W29" s="23">
        <f t="shared" si="10"/>
        <v>1.9081597083918322E-2</v>
      </c>
    </row>
    <row r="30" spans="1:23" x14ac:dyDescent="0.25">
      <c r="A30" s="19" t="s">
        <v>80</v>
      </c>
      <c r="B30" s="19" t="s">
        <v>81</v>
      </c>
      <c r="C30" s="19" t="s">
        <v>29</v>
      </c>
      <c r="D30" s="19" t="s">
        <v>26</v>
      </c>
      <c r="E30" s="19" t="s">
        <v>232</v>
      </c>
      <c r="F30" s="19" t="s">
        <v>232</v>
      </c>
      <c r="G30" s="24">
        <v>400569</v>
      </c>
      <c r="H30" s="24">
        <v>499424</v>
      </c>
      <c r="I30" s="19" t="s">
        <v>232</v>
      </c>
      <c r="J30" s="24" t="e">
        <f t="shared" si="0"/>
        <v>#VALUE!</v>
      </c>
      <c r="K30" s="36">
        <f t="shared" si="4"/>
        <v>0</v>
      </c>
      <c r="L30" s="23" t="s">
        <v>232</v>
      </c>
      <c r="M30" s="23" t="s">
        <v>232</v>
      </c>
      <c r="N30" s="24" t="e">
        <f t="shared" si="1"/>
        <v>#VALUE!</v>
      </c>
      <c r="O30" s="24" t="e">
        <f t="shared" si="5"/>
        <v>#VALUE!</v>
      </c>
      <c r="P30" s="24" t="e">
        <f t="shared" si="6"/>
        <v>#VALUE!</v>
      </c>
      <c r="Q30" s="24" t="e">
        <f t="shared" si="7"/>
        <v>#VALUE!</v>
      </c>
      <c r="R30" s="36">
        <f t="shared" si="8"/>
        <v>0</v>
      </c>
      <c r="S30" s="24">
        <v>5618749657.8090668</v>
      </c>
      <c r="T30" s="24">
        <f t="shared" si="2"/>
        <v>84281244867.136002</v>
      </c>
      <c r="U30" s="23" t="e">
        <f t="shared" si="3"/>
        <v>#VALUE!</v>
      </c>
      <c r="V30" s="23" t="e">
        <f t="shared" si="9"/>
        <v>#VALUE!</v>
      </c>
      <c r="W30" s="23" t="e">
        <f t="shared" si="10"/>
        <v>#VALUE!</v>
      </c>
    </row>
    <row r="31" spans="1:23" x14ac:dyDescent="0.25">
      <c r="A31" s="19" t="s">
        <v>82</v>
      </c>
      <c r="B31" s="19" t="s">
        <v>83</v>
      </c>
      <c r="C31" s="19" t="s">
        <v>18</v>
      </c>
      <c r="D31" s="19" t="s">
        <v>19</v>
      </c>
      <c r="E31" s="19" t="s">
        <v>232</v>
      </c>
      <c r="F31" s="19" t="s">
        <v>232</v>
      </c>
      <c r="G31" s="24">
        <v>7395599</v>
      </c>
      <c r="H31" s="24">
        <v>6213179</v>
      </c>
      <c r="I31" s="19">
        <v>100</v>
      </c>
      <c r="J31" s="24">
        <f t="shared" si="0"/>
        <v>0</v>
      </c>
      <c r="K31" s="36">
        <f t="shared" si="4"/>
        <v>0</v>
      </c>
      <c r="L31" s="23" t="s">
        <v>232</v>
      </c>
      <c r="M31" s="23" t="s">
        <v>232</v>
      </c>
      <c r="N31" s="24" t="e">
        <f t="shared" si="1"/>
        <v>#VALUE!</v>
      </c>
      <c r="O31" s="24" t="e">
        <f t="shared" si="5"/>
        <v>#VALUE!</v>
      </c>
      <c r="P31" s="24" t="e">
        <f t="shared" si="6"/>
        <v>#VALUE!</v>
      </c>
      <c r="Q31" s="24" t="e">
        <f t="shared" si="7"/>
        <v>#VALUE!</v>
      </c>
      <c r="R31" s="36">
        <f t="shared" si="8"/>
        <v>0</v>
      </c>
      <c r="S31" s="24">
        <v>1236205124.2998753</v>
      </c>
      <c r="T31" s="24">
        <f t="shared" si="2"/>
        <v>18543076864.498131</v>
      </c>
      <c r="U31" s="23" t="e">
        <f t="shared" si="3"/>
        <v>#VALUE!</v>
      </c>
      <c r="V31" s="23" t="e">
        <f t="shared" si="9"/>
        <v>#VALUE!</v>
      </c>
      <c r="W31" s="23" t="e">
        <f t="shared" si="10"/>
        <v>#VALUE!</v>
      </c>
    </row>
    <row r="32" spans="1:23" x14ac:dyDescent="0.25">
      <c r="A32" s="19" t="s">
        <v>84</v>
      </c>
      <c r="B32" s="19" t="s">
        <v>85</v>
      </c>
      <c r="C32" s="19" t="s">
        <v>14</v>
      </c>
      <c r="D32" s="19" t="s">
        <v>32</v>
      </c>
      <c r="E32" s="19" t="s">
        <v>467</v>
      </c>
      <c r="F32" s="19" t="s">
        <v>232</v>
      </c>
      <c r="G32" s="24">
        <v>15540284</v>
      </c>
      <c r="H32" s="24">
        <v>26564341</v>
      </c>
      <c r="I32" s="19">
        <v>17.399999999999999</v>
      </c>
      <c r="J32" s="24">
        <f t="shared" si="0"/>
        <v>21942145.666000001</v>
      </c>
      <c r="K32" s="36">
        <f t="shared" si="4"/>
        <v>21942145.666000001</v>
      </c>
      <c r="L32" s="23">
        <v>116.17619954537076</v>
      </c>
      <c r="M32" s="23" t="s">
        <v>232</v>
      </c>
      <c r="N32" s="24">
        <f t="shared" si="1"/>
        <v>2549155093.3468084</v>
      </c>
      <c r="O32" s="24">
        <f t="shared" si="5"/>
        <v>205831528.01228803</v>
      </c>
      <c r="P32" s="24">
        <f t="shared" si="6"/>
        <v>308747292.01843202</v>
      </c>
      <c r="Q32" s="24">
        <f t="shared" si="7"/>
        <v>2857902385.3652406</v>
      </c>
      <c r="R32" s="36">
        <f t="shared" si="8"/>
        <v>2857902385.3652406</v>
      </c>
      <c r="S32" s="24">
        <v>1409883719.9157445</v>
      </c>
      <c r="T32" s="24">
        <f t="shared" si="2"/>
        <v>21148255798.736168</v>
      </c>
      <c r="U32" s="23">
        <f t="shared" si="3"/>
        <v>0.13513655275230926</v>
      </c>
      <c r="V32" s="23">
        <f t="shared" si="9"/>
        <v>4.5045517584103092E-2</v>
      </c>
      <c r="W32" s="23">
        <f t="shared" si="10"/>
        <v>0.40540965825692782</v>
      </c>
    </row>
    <row r="33" spans="1:23" x14ac:dyDescent="0.25">
      <c r="A33" s="19" t="s">
        <v>86</v>
      </c>
      <c r="B33" s="19" t="s">
        <v>87</v>
      </c>
      <c r="C33" s="19" t="s">
        <v>14</v>
      </c>
      <c r="D33" s="19" t="s">
        <v>32</v>
      </c>
      <c r="E33" s="19" t="s">
        <v>467</v>
      </c>
      <c r="F33" s="19" t="s">
        <v>232</v>
      </c>
      <c r="G33" s="24">
        <v>9232753</v>
      </c>
      <c r="H33" s="24">
        <v>16392402.999999998</v>
      </c>
      <c r="I33" s="19">
        <v>46.9</v>
      </c>
      <c r="J33" s="24">
        <f t="shared" si="0"/>
        <v>8704365.9929999989</v>
      </c>
      <c r="K33" s="36">
        <f t="shared" si="4"/>
        <v>8704365.9929999989</v>
      </c>
      <c r="L33" s="23">
        <v>60.545088714102796</v>
      </c>
      <c r="M33" s="23" t="s">
        <v>232</v>
      </c>
      <c r="N33" s="24">
        <f t="shared" si="1"/>
        <v>527006611.24620444</v>
      </c>
      <c r="O33" s="24">
        <f t="shared" si="5"/>
        <v>42553148.825074777</v>
      </c>
      <c r="P33" s="24">
        <f t="shared" si="6"/>
        <v>63829723.237612166</v>
      </c>
      <c r="Q33" s="24">
        <f t="shared" si="7"/>
        <v>590836334.48381662</v>
      </c>
      <c r="R33" s="36">
        <f t="shared" si="8"/>
        <v>590836334.48381662</v>
      </c>
      <c r="S33" s="24">
        <v>551752484.64932442</v>
      </c>
      <c r="T33" s="24">
        <f t="shared" si="2"/>
        <v>8276287269.7398663</v>
      </c>
      <c r="U33" s="23">
        <f t="shared" si="3"/>
        <v>7.1389055892738154E-2</v>
      </c>
      <c r="V33" s="23">
        <f t="shared" si="9"/>
        <v>2.3796351964246055E-2</v>
      </c>
      <c r="W33" s="23">
        <f t="shared" si="10"/>
        <v>0.21416716767821448</v>
      </c>
    </row>
    <row r="34" spans="1:23" x14ac:dyDescent="0.25">
      <c r="A34" s="19" t="s">
        <v>88</v>
      </c>
      <c r="B34" s="19" t="s">
        <v>89</v>
      </c>
      <c r="C34" s="19" t="s">
        <v>40</v>
      </c>
      <c r="D34" s="19" t="s">
        <v>32</v>
      </c>
      <c r="E34" s="19" t="s">
        <v>467</v>
      </c>
      <c r="F34" s="19" t="s">
        <v>232</v>
      </c>
      <c r="G34" s="24">
        <v>487601</v>
      </c>
      <c r="H34" s="24">
        <v>576734</v>
      </c>
      <c r="I34" s="19">
        <v>61.6</v>
      </c>
      <c r="J34" s="24">
        <f t="shared" si="0"/>
        <v>221465.856</v>
      </c>
      <c r="K34" s="36">
        <f t="shared" si="4"/>
        <v>221465.856</v>
      </c>
      <c r="L34" s="23">
        <v>133.83254909236055</v>
      </c>
      <c r="M34" s="23">
        <v>133.83254909236055</v>
      </c>
      <c r="N34" s="24">
        <f t="shared" si="1"/>
        <v>29639340.045401651</v>
      </c>
      <c r="O34" s="24">
        <f t="shared" si="5"/>
        <v>2393228.5119659561</v>
      </c>
      <c r="P34" s="24">
        <f t="shared" si="6"/>
        <v>3589842.7679489343</v>
      </c>
      <c r="Q34" s="24">
        <f t="shared" si="7"/>
        <v>33229182.813350584</v>
      </c>
      <c r="R34" s="36">
        <f t="shared" si="8"/>
        <v>33229182.813350584</v>
      </c>
      <c r="S34" s="24">
        <v>9544520.9551698435</v>
      </c>
      <c r="T34" s="24">
        <f t="shared" si="2"/>
        <v>143167814.32754764</v>
      </c>
      <c r="U34" s="23">
        <f t="shared" si="3"/>
        <v>0.23209953277156925</v>
      </c>
      <c r="V34" s="23">
        <f t="shared" si="9"/>
        <v>7.7366510923856421E-2</v>
      </c>
      <c r="W34" s="23">
        <f t="shared" si="10"/>
        <v>0.69629859831470775</v>
      </c>
    </row>
    <row r="35" spans="1:23" x14ac:dyDescent="0.25">
      <c r="A35" s="19" t="s">
        <v>90</v>
      </c>
      <c r="B35" s="19" t="s">
        <v>91</v>
      </c>
      <c r="C35" s="19" t="s">
        <v>14</v>
      </c>
      <c r="D35" s="19" t="s">
        <v>26</v>
      </c>
      <c r="E35" s="19" t="s">
        <v>471</v>
      </c>
      <c r="F35" s="19" t="s">
        <v>232</v>
      </c>
      <c r="G35" s="24">
        <v>14364931</v>
      </c>
      <c r="H35" s="24">
        <v>19143612</v>
      </c>
      <c r="I35" s="19">
        <v>33.299999999999997</v>
      </c>
      <c r="J35" s="24">
        <f t="shared" si="0"/>
        <v>12768789.204</v>
      </c>
      <c r="K35" s="36">
        <f t="shared" si="4"/>
        <v>12768789.204</v>
      </c>
      <c r="L35" s="23">
        <v>167.67869535045108</v>
      </c>
      <c r="M35" s="23" t="s">
        <v>232</v>
      </c>
      <c r="N35" s="24">
        <f t="shared" si="1"/>
        <v>2141053914.9316447</v>
      </c>
      <c r="O35" s="24">
        <f t="shared" si="5"/>
        <v>172879398.36115563</v>
      </c>
      <c r="P35" s="24">
        <f t="shared" si="6"/>
        <v>259319097.54173341</v>
      </c>
      <c r="Q35" s="24">
        <f t="shared" si="7"/>
        <v>2400373012.4733782</v>
      </c>
      <c r="R35" s="36">
        <f t="shared" si="8"/>
        <v>2400373012.4733782</v>
      </c>
      <c r="S35" s="24">
        <v>433167180.30280077</v>
      </c>
      <c r="T35" s="24">
        <f t="shared" si="2"/>
        <v>6497507704.5420113</v>
      </c>
      <c r="U35" s="23">
        <f t="shared" si="3"/>
        <v>0.36942980626178001</v>
      </c>
      <c r="V35" s="23">
        <f t="shared" si="9"/>
        <v>0.12314326875392667</v>
      </c>
      <c r="W35" s="23">
        <f t="shared" si="10"/>
        <v>1.10828941878534</v>
      </c>
    </row>
    <row r="36" spans="1:23" x14ac:dyDescent="0.25">
      <c r="A36" s="19" t="s">
        <v>92</v>
      </c>
      <c r="B36" s="19" t="s">
        <v>93</v>
      </c>
      <c r="C36" s="19" t="s">
        <v>40</v>
      </c>
      <c r="D36" s="19" t="s">
        <v>32</v>
      </c>
      <c r="E36" s="19" t="s">
        <v>467</v>
      </c>
      <c r="F36" s="19" t="s">
        <v>232</v>
      </c>
      <c r="G36" s="24">
        <v>20624343</v>
      </c>
      <c r="H36" s="24">
        <v>33074214.999999996</v>
      </c>
      <c r="I36" s="19">
        <v>44.7</v>
      </c>
      <c r="J36" s="24">
        <f t="shared" si="0"/>
        <v>18290040.894999996</v>
      </c>
      <c r="K36" s="36">
        <f t="shared" si="4"/>
        <v>18290040.894999996</v>
      </c>
      <c r="L36" s="23">
        <v>64.653784219001608</v>
      </c>
      <c r="M36" s="23" t="s">
        <v>232</v>
      </c>
      <c r="N36" s="24">
        <f t="shared" si="1"/>
        <v>1182520357.3820448</v>
      </c>
      <c r="O36" s="24">
        <f t="shared" si="5"/>
        <v>95482606.256813198</v>
      </c>
      <c r="P36" s="24">
        <f t="shared" si="6"/>
        <v>143223909.38521981</v>
      </c>
      <c r="Q36" s="24">
        <f t="shared" si="7"/>
        <v>1325744266.7672646</v>
      </c>
      <c r="R36" s="36">
        <f t="shared" si="8"/>
        <v>1325744266.7672646</v>
      </c>
      <c r="S36" s="24">
        <v>2416929494.6420951</v>
      </c>
      <c r="T36" s="24">
        <f t="shared" si="2"/>
        <v>36253942419.631424</v>
      </c>
      <c r="U36" s="23">
        <f t="shared" si="3"/>
        <v>3.6568278600491659E-2</v>
      </c>
      <c r="V36" s="23">
        <f t="shared" si="9"/>
        <v>1.2189426200163887E-2</v>
      </c>
      <c r="W36" s="23">
        <f t="shared" si="10"/>
        <v>0.10970483580147498</v>
      </c>
    </row>
    <row r="37" spans="1:23" x14ac:dyDescent="0.25">
      <c r="A37" s="19" t="s">
        <v>94</v>
      </c>
      <c r="B37" s="19" t="s">
        <v>95</v>
      </c>
      <c r="C37" s="19" t="s">
        <v>45</v>
      </c>
      <c r="D37" s="19" t="s">
        <v>69</v>
      </c>
      <c r="E37" s="19" t="s">
        <v>232</v>
      </c>
      <c r="F37" s="19" t="s">
        <v>232</v>
      </c>
      <c r="G37" s="24">
        <v>34005274</v>
      </c>
      <c r="H37" s="24">
        <v>40616997</v>
      </c>
      <c r="I37" s="19">
        <v>99.8</v>
      </c>
      <c r="J37" s="24">
        <f t="shared" si="0"/>
        <v>81233.994000000079</v>
      </c>
      <c r="K37" s="36">
        <f t="shared" si="4"/>
        <v>81233.994000000079</v>
      </c>
      <c r="L37" s="23" t="s">
        <v>232</v>
      </c>
      <c r="M37" s="23" t="s">
        <v>232</v>
      </c>
      <c r="N37" s="24" t="e">
        <f t="shared" si="1"/>
        <v>#VALUE!</v>
      </c>
      <c r="O37" s="24" t="e">
        <f t="shared" si="5"/>
        <v>#VALUE!</v>
      </c>
      <c r="P37" s="24" t="e">
        <f t="shared" si="6"/>
        <v>#VALUE!</v>
      </c>
      <c r="Q37" s="24" t="e">
        <f t="shared" si="7"/>
        <v>#VALUE!</v>
      </c>
      <c r="R37" s="36">
        <f t="shared" si="8"/>
        <v>0</v>
      </c>
      <c r="S37" s="24">
        <v>66550602359.385544</v>
      </c>
      <c r="T37" s="24">
        <f t="shared" si="2"/>
        <v>998259035390.7832</v>
      </c>
      <c r="U37" s="23" t="e">
        <f t="shared" si="3"/>
        <v>#VALUE!</v>
      </c>
      <c r="V37" s="23" t="e">
        <f t="shared" si="9"/>
        <v>#VALUE!</v>
      </c>
      <c r="W37" s="23" t="e">
        <f t="shared" si="10"/>
        <v>#VALUE!</v>
      </c>
    </row>
    <row r="38" spans="1:23" x14ac:dyDescent="0.25">
      <c r="A38" s="19" t="s">
        <v>96</v>
      </c>
      <c r="B38" s="19" t="s">
        <v>97</v>
      </c>
      <c r="C38" s="19" t="s">
        <v>29</v>
      </c>
      <c r="D38" s="19" t="s">
        <v>35</v>
      </c>
      <c r="E38" s="19" t="s">
        <v>468</v>
      </c>
      <c r="F38" s="19" t="s">
        <v>232</v>
      </c>
      <c r="G38" s="24">
        <v>55509</v>
      </c>
      <c r="H38" s="24">
        <v>66552</v>
      </c>
      <c r="I38" s="19">
        <v>96.2</v>
      </c>
      <c r="J38" s="24">
        <f t="shared" si="0"/>
        <v>2528.9759999999947</v>
      </c>
      <c r="K38" s="36">
        <f t="shared" si="4"/>
        <v>2528.9759999999947</v>
      </c>
      <c r="L38" s="23">
        <v>271.17101589161985</v>
      </c>
      <c r="M38" s="23">
        <v>271.17101589161985</v>
      </c>
      <c r="N38" s="24">
        <f t="shared" si="1"/>
        <v>685784.99108552374</v>
      </c>
      <c r="O38" s="24">
        <f t="shared" si="5"/>
        <v>55373.709105200614</v>
      </c>
      <c r="P38" s="24">
        <f t="shared" si="6"/>
        <v>83060.563657800929</v>
      </c>
      <c r="Q38" s="24">
        <f t="shared" si="7"/>
        <v>768845.55474332464</v>
      </c>
      <c r="R38" s="36">
        <f t="shared" si="8"/>
        <v>768845.55474332464</v>
      </c>
      <c r="S38" s="24" t="s">
        <v>232</v>
      </c>
      <c r="T38" s="24" t="e">
        <f t="shared" si="2"/>
        <v>#VALUE!</v>
      </c>
      <c r="U38" s="23" t="e">
        <f t="shared" si="3"/>
        <v>#VALUE!</v>
      </c>
      <c r="V38" s="23" t="e">
        <f t="shared" si="9"/>
        <v>#VALUE!</v>
      </c>
      <c r="W38" s="23" t="e">
        <f t="shared" si="10"/>
        <v>#VALUE!</v>
      </c>
    </row>
    <row r="39" spans="1:23" x14ac:dyDescent="0.25">
      <c r="A39" s="19" t="s">
        <v>98</v>
      </c>
      <c r="B39" s="19" t="s">
        <v>99</v>
      </c>
      <c r="C39" s="19" t="s">
        <v>14</v>
      </c>
      <c r="D39" s="19" t="s">
        <v>32</v>
      </c>
      <c r="E39" s="19" t="s">
        <v>467</v>
      </c>
      <c r="F39" s="19" t="s">
        <v>232</v>
      </c>
      <c r="G39" s="24">
        <v>4349921</v>
      </c>
      <c r="H39" s="24">
        <v>6318381</v>
      </c>
      <c r="I39" s="19">
        <v>20.7</v>
      </c>
      <c r="J39" s="24">
        <f t="shared" si="0"/>
        <v>5010476.1330000004</v>
      </c>
      <c r="K39" s="36">
        <f t="shared" si="4"/>
        <v>5010476.1330000004</v>
      </c>
      <c r="L39" s="23">
        <v>133.83254909236055</v>
      </c>
      <c r="M39" s="23">
        <v>133.83254909236055</v>
      </c>
      <c r="N39" s="24">
        <f t="shared" si="1"/>
        <v>670564793.04582345</v>
      </c>
      <c r="O39" s="24">
        <f t="shared" si="5"/>
        <v>54144754.214485012</v>
      </c>
      <c r="P39" s="24">
        <f t="shared" si="6"/>
        <v>81217131.321727514</v>
      </c>
      <c r="Q39" s="24">
        <f t="shared" si="7"/>
        <v>751781924.36755097</v>
      </c>
      <c r="R39" s="36">
        <f t="shared" si="8"/>
        <v>751781924.36755097</v>
      </c>
      <c r="S39" s="24">
        <v>165997754.82625589</v>
      </c>
      <c r="T39" s="24">
        <f t="shared" si="2"/>
        <v>2489966322.3938384</v>
      </c>
      <c r="U39" s="23">
        <f t="shared" si="3"/>
        <v>0.30192453512575723</v>
      </c>
      <c r="V39" s="23">
        <f t="shared" si="9"/>
        <v>0.10064151170858575</v>
      </c>
      <c r="W39" s="23">
        <f t="shared" si="10"/>
        <v>0.9057736053772717</v>
      </c>
    </row>
    <row r="40" spans="1:23" x14ac:dyDescent="0.25">
      <c r="A40" s="19" t="s">
        <v>100</v>
      </c>
      <c r="B40" s="19" t="s">
        <v>101</v>
      </c>
      <c r="C40" s="19" t="s">
        <v>14</v>
      </c>
      <c r="D40" s="19" t="s">
        <v>32</v>
      </c>
      <c r="E40" s="19" t="s">
        <v>467</v>
      </c>
      <c r="F40" s="19" t="s">
        <v>232</v>
      </c>
      <c r="G40" s="24">
        <v>11720781</v>
      </c>
      <c r="H40" s="24">
        <v>20877527</v>
      </c>
      <c r="I40" s="19">
        <v>11.5</v>
      </c>
      <c r="J40" s="24">
        <f t="shared" si="0"/>
        <v>18476611.395</v>
      </c>
      <c r="K40" s="36">
        <f t="shared" si="4"/>
        <v>18476611.395</v>
      </c>
      <c r="L40" s="23">
        <v>307.6461512086405</v>
      </c>
      <c r="M40" s="23" t="s">
        <v>232</v>
      </c>
      <c r="N40" s="24">
        <f t="shared" si="1"/>
        <v>5684258383.0494604</v>
      </c>
      <c r="O40" s="24">
        <f t="shared" si="5"/>
        <v>458975443.13932866</v>
      </c>
      <c r="P40" s="24">
        <f t="shared" si="6"/>
        <v>688463164.70899296</v>
      </c>
      <c r="Q40" s="24">
        <f t="shared" si="7"/>
        <v>6372721547.7584534</v>
      </c>
      <c r="R40" s="36">
        <f t="shared" si="8"/>
        <v>6372721547.7584534</v>
      </c>
      <c r="S40" s="24">
        <v>3554600897.019742</v>
      </c>
      <c r="T40" s="24">
        <f t="shared" si="2"/>
        <v>53319013455.296127</v>
      </c>
      <c r="U40" s="23">
        <f t="shared" si="3"/>
        <v>0.11952062003363</v>
      </c>
      <c r="V40" s="23">
        <f t="shared" si="9"/>
        <v>3.9840206677876668E-2</v>
      </c>
      <c r="W40" s="23">
        <f t="shared" si="10"/>
        <v>0.35856186010088997</v>
      </c>
    </row>
    <row r="41" spans="1:23" x14ac:dyDescent="0.25">
      <c r="A41" s="19" t="s">
        <v>102</v>
      </c>
      <c r="B41" s="19" t="s">
        <v>103</v>
      </c>
      <c r="C41" s="19" t="s">
        <v>29</v>
      </c>
      <c r="D41" s="19" t="s">
        <v>19</v>
      </c>
      <c r="E41" s="19" t="s">
        <v>232</v>
      </c>
      <c r="F41" s="19" t="s">
        <v>232</v>
      </c>
      <c r="G41" s="24">
        <v>159518</v>
      </c>
      <c r="H41" s="24">
        <v>173587</v>
      </c>
      <c r="I41" s="19" t="s">
        <v>232</v>
      </c>
      <c r="J41" s="24" t="e">
        <f t="shared" si="0"/>
        <v>#VALUE!</v>
      </c>
      <c r="K41" s="36">
        <f t="shared" si="4"/>
        <v>0</v>
      </c>
      <c r="L41" s="23" t="s">
        <v>232</v>
      </c>
      <c r="M41" s="23" t="s">
        <v>232</v>
      </c>
      <c r="N41" s="24" t="e">
        <f t="shared" si="1"/>
        <v>#VALUE!</v>
      </c>
      <c r="O41" s="24" t="e">
        <f t="shared" si="5"/>
        <v>#VALUE!</v>
      </c>
      <c r="P41" s="24" t="e">
        <f t="shared" si="6"/>
        <v>#VALUE!</v>
      </c>
      <c r="Q41" s="24" t="e">
        <f t="shared" si="7"/>
        <v>#VALUE!</v>
      </c>
      <c r="R41" s="36">
        <f t="shared" si="8"/>
        <v>0</v>
      </c>
      <c r="S41" s="24" t="s">
        <v>232</v>
      </c>
      <c r="T41" s="24" t="e">
        <f t="shared" si="2"/>
        <v>#VALUE!</v>
      </c>
      <c r="U41" s="23" t="e">
        <f t="shared" si="3"/>
        <v>#VALUE!</v>
      </c>
      <c r="V41" s="23" t="e">
        <f t="shared" si="9"/>
        <v>#VALUE!</v>
      </c>
      <c r="W41" s="23" t="e">
        <f t="shared" si="10"/>
        <v>#VALUE!</v>
      </c>
    </row>
    <row r="42" spans="1:23" x14ac:dyDescent="0.25">
      <c r="A42" s="19" t="s">
        <v>104</v>
      </c>
      <c r="B42" s="19" t="s">
        <v>105</v>
      </c>
      <c r="C42" s="19" t="s">
        <v>45</v>
      </c>
      <c r="D42" s="19" t="s">
        <v>35</v>
      </c>
      <c r="E42" s="19" t="s">
        <v>468</v>
      </c>
      <c r="F42" s="19" t="s">
        <v>232</v>
      </c>
      <c r="G42" s="24">
        <v>17150760</v>
      </c>
      <c r="H42" s="24">
        <v>19814578</v>
      </c>
      <c r="I42" s="19">
        <v>97.8</v>
      </c>
      <c r="J42" s="24">
        <f t="shared" si="0"/>
        <v>435920.71600000036</v>
      </c>
      <c r="K42" s="36">
        <f t="shared" si="4"/>
        <v>435920.71600000036</v>
      </c>
      <c r="L42" s="23">
        <v>272.58566978193147</v>
      </c>
      <c r="M42" s="23" t="s">
        <v>232</v>
      </c>
      <c r="N42" s="24">
        <f t="shared" si="1"/>
        <v>118825740.34267923</v>
      </c>
      <c r="O42" s="24">
        <f t="shared" si="5"/>
        <v>9594584.4039696343</v>
      </c>
      <c r="P42" s="24">
        <f t="shared" si="6"/>
        <v>14391876.605954451</v>
      </c>
      <c r="Q42" s="24">
        <f t="shared" si="7"/>
        <v>133217616.94863369</v>
      </c>
      <c r="R42" s="36">
        <f t="shared" si="8"/>
        <v>133217616.94863369</v>
      </c>
      <c r="S42" s="24">
        <v>42609019124.162964</v>
      </c>
      <c r="T42" s="24">
        <f t="shared" si="2"/>
        <v>639135286862.44446</v>
      </c>
      <c r="U42" s="23">
        <f t="shared" si="3"/>
        <v>2.0843414483122562E-4</v>
      </c>
      <c r="V42" s="23">
        <f t="shared" si="9"/>
        <v>6.947804827707521E-5</v>
      </c>
      <c r="W42" s="23">
        <f t="shared" si="10"/>
        <v>6.2530243449367693E-4</v>
      </c>
    </row>
    <row r="43" spans="1:23" x14ac:dyDescent="0.25">
      <c r="A43" s="19" t="s">
        <v>106</v>
      </c>
      <c r="B43" s="19" t="s">
        <v>107</v>
      </c>
      <c r="C43" s="19" t="s">
        <v>18</v>
      </c>
      <c r="D43" s="19" t="s">
        <v>26</v>
      </c>
      <c r="E43" s="19" t="s">
        <v>472</v>
      </c>
      <c r="F43" s="19" t="s">
        <v>232</v>
      </c>
      <c r="G43" s="24">
        <v>1337705000</v>
      </c>
      <c r="H43" s="24">
        <v>1453297304</v>
      </c>
      <c r="I43" s="19">
        <v>64.8</v>
      </c>
      <c r="J43" s="24">
        <f t="shared" si="0"/>
        <v>511560651.00799996</v>
      </c>
      <c r="K43" s="36">
        <f t="shared" si="4"/>
        <v>511560651.00799996</v>
      </c>
      <c r="L43" s="23">
        <v>118.46244228777692</v>
      </c>
      <c r="M43" s="23" t="s">
        <v>232</v>
      </c>
      <c r="N43" s="24">
        <f t="shared" si="1"/>
        <v>60600724096.732788</v>
      </c>
      <c r="O43" s="24">
        <f t="shared" si="5"/>
        <v>4893205467.1906891</v>
      </c>
      <c r="P43" s="24">
        <f t="shared" si="6"/>
        <v>7339808200.7860336</v>
      </c>
      <c r="Q43" s="24">
        <f t="shared" si="7"/>
        <v>67940532297.518822</v>
      </c>
      <c r="R43" s="36">
        <f t="shared" si="8"/>
        <v>67940532297.518822</v>
      </c>
      <c r="S43" s="24">
        <v>412412144329.84637</v>
      </c>
      <c r="T43" s="24">
        <f t="shared" si="2"/>
        <v>6186182164947.6953</v>
      </c>
      <c r="U43" s="23">
        <f t="shared" si="3"/>
        <v>1.098262716582858E-2</v>
      </c>
      <c r="V43" s="23">
        <f t="shared" si="9"/>
        <v>3.6608757219428602E-3</v>
      </c>
      <c r="W43" s="23">
        <f t="shared" si="10"/>
        <v>3.2947881497485738E-2</v>
      </c>
    </row>
    <row r="44" spans="1:23" x14ac:dyDescent="0.25">
      <c r="A44" s="19" t="s">
        <v>108</v>
      </c>
      <c r="B44" s="19" t="s">
        <v>109</v>
      </c>
      <c r="C44" s="19" t="s">
        <v>18</v>
      </c>
      <c r="D44" s="19" t="s">
        <v>35</v>
      </c>
      <c r="E44" s="19" t="s">
        <v>468</v>
      </c>
      <c r="F44" s="19" t="s">
        <v>232</v>
      </c>
      <c r="G44" s="24">
        <v>46444798</v>
      </c>
      <c r="H44" s="24">
        <v>57219408</v>
      </c>
      <c r="I44" s="19">
        <v>79.3</v>
      </c>
      <c r="J44" s="24">
        <f t="shared" si="0"/>
        <v>11844417.456000004</v>
      </c>
      <c r="K44" s="36">
        <f t="shared" si="4"/>
        <v>11844417.456000004</v>
      </c>
      <c r="L44" s="23">
        <v>357.18483690861007</v>
      </c>
      <c r="M44" s="23" t="s">
        <v>232</v>
      </c>
      <c r="N44" s="24">
        <f t="shared" si="1"/>
        <v>4230646317.2988558</v>
      </c>
      <c r="O44" s="24">
        <f t="shared" si="5"/>
        <v>341603536.8902961</v>
      </c>
      <c r="P44" s="24">
        <f t="shared" si="6"/>
        <v>512405305.33544415</v>
      </c>
      <c r="Q44" s="24">
        <f t="shared" si="7"/>
        <v>4743051622.6343002</v>
      </c>
      <c r="R44" s="36">
        <f t="shared" si="8"/>
        <v>4743051622.6343002</v>
      </c>
      <c r="S44" s="24">
        <v>27613795592.874363</v>
      </c>
      <c r="T44" s="24">
        <f t="shared" si="2"/>
        <v>414206933893.11542</v>
      </c>
      <c r="U44" s="23">
        <f t="shared" si="3"/>
        <v>1.1450922798550318E-2</v>
      </c>
      <c r="V44" s="23">
        <f t="shared" si="9"/>
        <v>3.8169742661834398E-3</v>
      </c>
      <c r="W44" s="23">
        <f t="shared" si="10"/>
        <v>3.4352768395650955E-2</v>
      </c>
    </row>
    <row r="45" spans="1:23" x14ac:dyDescent="0.25">
      <c r="A45" s="19" t="s">
        <v>110</v>
      </c>
      <c r="B45" s="19" t="s">
        <v>111</v>
      </c>
      <c r="C45" s="19" t="s">
        <v>14</v>
      </c>
      <c r="D45" s="19" t="s">
        <v>32</v>
      </c>
      <c r="E45" s="19" t="s">
        <v>467</v>
      </c>
      <c r="F45" s="19" t="s">
        <v>232</v>
      </c>
      <c r="G45" s="24">
        <v>683081</v>
      </c>
      <c r="H45" s="24">
        <v>1057197</v>
      </c>
      <c r="I45" s="19">
        <v>35.4</v>
      </c>
      <c r="J45" s="24">
        <f t="shared" si="0"/>
        <v>682949.26199999999</v>
      </c>
      <c r="K45" s="36">
        <f t="shared" si="4"/>
        <v>682949.26199999999</v>
      </c>
      <c r="L45" s="23">
        <v>63.339731285988485</v>
      </c>
      <c r="M45" s="23" t="s">
        <v>232</v>
      </c>
      <c r="N45" s="24">
        <f t="shared" si="1"/>
        <v>43257822.737044148</v>
      </c>
      <c r="O45" s="24">
        <f t="shared" si="5"/>
        <v>3492852.8969026296</v>
      </c>
      <c r="P45" s="24">
        <f t="shared" si="6"/>
        <v>5239279.3453539452</v>
      </c>
      <c r="Q45" s="24">
        <f t="shared" si="7"/>
        <v>48497102.082398094</v>
      </c>
      <c r="R45" s="36">
        <f t="shared" si="8"/>
        <v>48497102.082398094</v>
      </c>
      <c r="S45" s="24">
        <v>15685686.317566991</v>
      </c>
      <c r="T45" s="24">
        <f t="shared" si="2"/>
        <v>235285294.76350486</v>
      </c>
      <c r="U45" s="23">
        <f t="shared" si="3"/>
        <v>0.20612041279989288</v>
      </c>
      <c r="V45" s="23">
        <f t="shared" si="9"/>
        <v>6.870680426663095E-2</v>
      </c>
      <c r="W45" s="23">
        <f t="shared" si="10"/>
        <v>0.6183612383996786</v>
      </c>
    </row>
    <row r="46" spans="1:23" x14ac:dyDescent="0.25">
      <c r="A46" s="19" t="s">
        <v>112</v>
      </c>
      <c r="B46" s="19" t="s">
        <v>113</v>
      </c>
      <c r="C46" s="19" t="s">
        <v>14</v>
      </c>
      <c r="D46" s="19" t="s">
        <v>32</v>
      </c>
      <c r="E46" s="19" t="s">
        <v>467</v>
      </c>
      <c r="F46" s="19" t="s">
        <v>232</v>
      </c>
      <c r="G46" s="24">
        <v>62191161</v>
      </c>
      <c r="H46" s="24">
        <v>103743184</v>
      </c>
      <c r="I46" s="19">
        <v>30</v>
      </c>
      <c r="J46" s="24">
        <f t="shared" si="0"/>
        <v>72620228.799999997</v>
      </c>
      <c r="K46" s="36">
        <f t="shared" si="4"/>
        <v>72620228.799999997</v>
      </c>
      <c r="L46" s="23">
        <v>133.83254909236055</v>
      </c>
      <c r="M46" s="23">
        <v>133.83254909236055</v>
      </c>
      <c r="N46" s="24">
        <f t="shared" si="1"/>
        <v>9718950335.9744549</v>
      </c>
      <c r="O46" s="24">
        <f t="shared" si="5"/>
        <v>784756644.87825727</v>
      </c>
      <c r="P46" s="24">
        <f t="shared" si="6"/>
        <v>1177134967.3173859</v>
      </c>
      <c r="Q46" s="24">
        <f t="shared" si="7"/>
        <v>10896085303.291842</v>
      </c>
      <c r="R46" s="36">
        <f t="shared" si="8"/>
        <v>10896085303.291842</v>
      </c>
      <c r="S46" s="24">
        <v>7681552331.5239582</v>
      </c>
      <c r="T46" s="24">
        <f t="shared" si="2"/>
        <v>115223284972.85937</v>
      </c>
      <c r="U46" s="23">
        <f t="shared" si="3"/>
        <v>9.4564959728915848E-2</v>
      </c>
      <c r="V46" s="23">
        <f t="shared" si="9"/>
        <v>3.1521653242971952E-2</v>
      </c>
      <c r="W46" s="23">
        <f t="shared" si="10"/>
        <v>0.28369487918674757</v>
      </c>
    </row>
    <row r="47" spans="1:23" x14ac:dyDescent="0.25">
      <c r="A47" s="19" t="s">
        <v>114</v>
      </c>
      <c r="B47" s="19" t="s">
        <v>115</v>
      </c>
      <c r="C47" s="19" t="s">
        <v>40</v>
      </c>
      <c r="D47" s="19" t="s">
        <v>32</v>
      </c>
      <c r="E47" s="19" t="s">
        <v>467</v>
      </c>
      <c r="F47" s="19" t="s">
        <v>232</v>
      </c>
      <c r="G47" s="24">
        <v>4111715</v>
      </c>
      <c r="H47" s="24">
        <v>6753771</v>
      </c>
      <c r="I47" s="19">
        <v>14.3</v>
      </c>
      <c r="J47" s="24">
        <f t="shared" si="0"/>
        <v>5787981.7469999995</v>
      </c>
      <c r="K47" s="36">
        <f t="shared" si="4"/>
        <v>5787981.7469999995</v>
      </c>
      <c r="L47" s="23">
        <v>133.83254909236055</v>
      </c>
      <c r="M47" s="23">
        <v>133.83254909236055</v>
      </c>
      <c r="N47" s="24">
        <f t="shared" si="1"/>
        <v>774620351.30106425</v>
      </c>
      <c r="O47" s="24">
        <f t="shared" si="5"/>
        <v>62546720.265804432</v>
      </c>
      <c r="P47" s="24">
        <f t="shared" si="6"/>
        <v>93820080.39870666</v>
      </c>
      <c r="Q47" s="24">
        <f t="shared" si="7"/>
        <v>868440431.69977093</v>
      </c>
      <c r="R47" s="36">
        <f t="shared" si="8"/>
        <v>868440431.69977093</v>
      </c>
      <c r="S47" s="24">
        <v>7999753757.4398327</v>
      </c>
      <c r="T47" s="24">
        <f t="shared" si="2"/>
        <v>119996306361.59749</v>
      </c>
      <c r="U47" s="23">
        <f t="shared" si="3"/>
        <v>7.2372263616415659E-3</v>
      </c>
      <c r="V47" s="23">
        <f t="shared" si="9"/>
        <v>2.4124087872138553E-3</v>
      </c>
      <c r="W47" s="23">
        <f t="shared" si="10"/>
        <v>2.17116790849247E-2</v>
      </c>
    </row>
    <row r="48" spans="1:23" x14ac:dyDescent="0.25">
      <c r="A48" s="19" t="s">
        <v>116</v>
      </c>
      <c r="B48" s="19" t="s">
        <v>117</v>
      </c>
      <c r="C48" s="19" t="s">
        <v>18</v>
      </c>
      <c r="D48" s="19" t="s">
        <v>35</v>
      </c>
      <c r="E48" s="19" t="s">
        <v>468</v>
      </c>
      <c r="F48" s="19" t="s">
        <v>232</v>
      </c>
      <c r="G48" s="24">
        <v>4669685</v>
      </c>
      <c r="H48" s="24">
        <v>5759573</v>
      </c>
      <c r="I48" s="19">
        <v>93.5</v>
      </c>
      <c r="J48" s="24">
        <f t="shared" si="0"/>
        <v>374372.2449999997</v>
      </c>
      <c r="K48" s="36">
        <f t="shared" si="4"/>
        <v>374372.2449999997</v>
      </c>
      <c r="L48" s="23">
        <v>218.04511278195488</v>
      </c>
      <c r="M48" s="23" t="s">
        <v>232</v>
      </c>
      <c r="N48" s="24">
        <f t="shared" si="1"/>
        <v>81630038.383458585</v>
      </c>
      <c r="O48" s="24">
        <f t="shared" si="5"/>
        <v>6591217.4492723634</v>
      </c>
      <c r="P48" s="24">
        <f t="shared" si="6"/>
        <v>9886826.1739085447</v>
      </c>
      <c r="Q48" s="24">
        <f t="shared" si="7"/>
        <v>91516864.557367131</v>
      </c>
      <c r="R48" s="36">
        <f t="shared" si="8"/>
        <v>91516864.557367131</v>
      </c>
      <c r="S48" s="24">
        <v>447691904.68022686</v>
      </c>
      <c r="T48" s="24">
        <f t="shared" si="2"/>
        <v>6715378570.2034025</v>
      </c>
      <c r="U48" s="23">
        <f t="shared" si="3"/>
        <v>1.362795315269846E-2</v>
      </c>
      <c r="V48" s="23">
        <f t="shared" si="9"/>
        <v>4.5426510508994869E-3</v>
      </c>
      <c r="W48" s="23">
        <f t="shared" si="10"/>
        <v>4.0883859458095376E-2</v>
      </c>
    </row>
    <row r="49" spans="1:23" x14ac:dyDescent="0.25">
      <c r="A49" s="19" t="s">
        <v>118</v>
      </c>
      <c r="B49" s="19" t="s">
        <v>119</v>
      </c>
      <c r="C49" s="19" t="s">
        <v>40</v>
      </c>
      <c r="D49" s="19" t="s">
        <v>32</v>
      </c>
      <c r="E49" s="19" t="s">
        <v>467</v>
      </c>
      <c r="F49" s="19" t="s">
        <v>232</v>
      </c>
      <c r="G49" s="24">
        <v>18976588</v>
      </c>
      <c r="H49" s="24">
        <v>29227188</v>
      </c>
      <c r="I49" s="19">
        <v>21.1</v>
      </c>
      <c r="J49" s="24">
        <f t="shared" si="0"/>
        <v>23060251.331999999</v>
      </c>
      <c r="K49" s="36">
        <f t="shared" si="4"/>
        <v>23060251.331999999</v>
      </c>
      <c r="L49" s="23">
        <v>133.83254909236055</v>
      </c>
      <c r="M49" s="23">
        <v>133.83254909236055</v>
      </c>
      <c r="N49" s="24">
        <f t="shared" si="1"/>
        <v>3086212218.4720626</v>
      </c>
      <c r="O49" s="24">
        <f t="shared" si="5"/>
        <v>249196205.58052668</v>
      </c>
      <c r="P49" s="24">
        <f t="shared" si="6"/>
        <v>373794308.37079</v>
      </c>
      <c r="Q49" s="24">
        <f t="shared" si="7"/>
        <v>3460006526.8428526</v>
      </c>
      <c r="R49" s="36">
        <f t="shared" si="8"/>
        <v>3460006526.8428526</v>
      </c>
      <c r="S49" s="24">
        <v>1791544935.1129889</v>
      </c>
      <c r="T49" s="24">
        <f t="shared" si="2"/>
        <v>26873174026.694836</v>
      </c>
      <c r="U49" s="23">
        <f t="shared" si="3"/>
        <v>0.12875317680768961</v>
      </c>
      <c r="V49" s="23">
        <f t="shared" si="9"/>
        <v>4.2917725602563211E-2</v>
      </c>
      <c r="W49" s="23">
        <f t="shared" si="10"/>
        <v>0.38625953042306882</v>
      </c>
    </row>
    <row r="50" spans="1:23" x14ac:dyDescent="0.25">
      <c r="A50" s="19" t="s">
        <v>120</v>
      </c>
      <c r="B50" s="19" t="s">
        <v>121</v>
      </c>
      <c r="C50" s="19" t="s">
        <v>29</v>
      </c>
      <c r="D50" s="19" t="s">
        <v>19</v>
      </c>
      <c r="E50" s="19" t="s">
        <v>232</v>
      </c>
      <c r="F50" s="19" t="s">
        <v>471</v>
      </c>
      <c r="G50" s="24">
        <v>4417781</v>
      </c>
      <c r="H50" s="24">
        <v>4015138</v>
      </c>
      <c r="I50" s="19">
        <v>98.2</v>
      </c>
      <c r="J50" s="24">
        <f t="shared" si="0"/>
        <v>72272.484000000069</v>
      </c>
      <c r="K50" s="36">
        <f t="shared" si="4"/>
        <v>72272.484000000069</v>
      </c>
      <c r="L50" s="23">
        <v>76.733547934264351</v>
      </c>
      <c r="M50" s="23">
        <v>76.733547934264351</v>
      </c>
      <c r="N50" s="24">
        <f t="shared" si="1"/>
        <v>5545724.1153423591</v>
      </c>
      <c r="O50" s="24">
        <f t="shared" si="5"/>
        <v>447789.49369331874</v>
      </c>
      <c r="P50" s="24">
        <f t="shared" si="6"/>
        <v>671684.24053997814</v>
      </c>
      <c r="Q50" s="24">
        <f t="shared" si="7"/>
        <v>6217408.3558823373</v>
      </c>
      <c r="R50" s="36">
        <f t="shared" si="8"/>
        <v>6217408.3558823373</v>
      </c>
      <c r="S50" s="24">
        <v>918544973.75403845</v>
      </c>
      <c r="T50" s="24">
        <f t="shared" si="2"/>
        <v>13778174606.310577</v>
      </c>
      <c r="U50" s="23">
        <f t="shared" si="3"/>
        <v>4.5125051275186234E-4</v>
      </c>
      <c r="V50" s="23">
        <f t="shared" si="9"/>
        <v>1.5041683758395413E-4</v>
      </c>
      <c r="W50" s="23">
        <f t="shared" si="10"/>
        <v>1.3537515382555868E-3</v>
      </c>
    </row>
    <row r="51" spans="1:23" x14ac:dyDescent="0.25">
      <c r="A51" s="19" t="s">
        <v>122</v>
      </c>
      <c r="B51" s="19" t="s">
        <v>123</v>
      </c>
      <c r="C51" s="19" t="s">
        <v>18</v>
      </c>
      <c r="D51" s="19" t="s">
        <v>35</v>
      </c>
      <c r="E51" s="19" t="s">
        <v>468</v>
      </c>
      <c r="F51" s="19" t="s">
        <v>232</v>
      </c>
      <c r="G51" s="24">
        <v>11281768</v>
      </c>
      <c r="H51" s="24">
        <v>10847333</v>
      </c>
      <c r="I51" s="19">
        <v>91.6</v>
      </c>
      <c r="J51" s="24">
        <f t="shared" si="0"/>
        <v>911175.97200000077</v>
      </c>
      <c r="K51" s="36">
        <f t="shared" si="4"/>
        <v>911175.97200000077</v>
      </c>
      <c r="L51" s="23">
        <v>247.02380952380952</v>
      </c>
      <c r="M51" s="23" t="s">
        <v>232</v>
      </c>
      <c r="N51" s="24">
        <f t="shared" si="1"/>
        <v>225082159.75000018</v>
      </c>
      <c r="O51" s="24">
        <f t="shared" si="5"/>
        <v>18174258.989013765</v>
      </c>
      <c r="P51" s="24">
        <f t="shared" si="6"/>
        <v>27261388.483520646</v>
      </c>
      <c r="Q51" s="24">
        <f t="shared" si="7"/>
        <v>252343548.23352084</v>
      </c>
      <c r="R51" s="36">
        <f t="shared" si="8"/>
        <v>252343548.23352084</v>
      </c>
      <c r="S51" s="24">
        <v>3082852547.1150317</v>
      </c>
      <c r="T51" s="24">
        <f t="shared" si="2"/>
        <v>46242788206.725479</v>
      </c>
      <c r="U51" s="23">
        <f t="shared" si="3"/>
        <v>5.4569276209175547E-3</v>
      </c>
      <c r="V51" s="23">
        <f t="shared" si="9"/>
        <v>1.8189758736391849E-3</v>
      </c>
      <c r="W51" s="23">
        <f t="shared" si="10"/>
        <v>1.6370782862752665E-2</v>
      </c>
    </row>
    <row r="52" spans="1:23" x14ac:dyDescent="0.25">
      <c r="A52" s="19" t="s">
        <v>124</v>
      </c>
      <c r="B52" s="19" t="s">
        <v>125</v>
      </c>
      <c r="C52" s="19" t="s">
        <v>29</v>
      </c>
      <c r="D52" s="19" t="s">
        <v>35</v>
      </c>
      <c r="E52" s="19" t="s">
        <v>468</v>
      </c>
      <c r="F52" s="19" t="s">
        <v>232</v>
      </c>
      <c r="G52" s="24">
        <v>149311</v>
      </c>
      <c r="H52" s="24">
        <v>178776</v>
      </c>
      <c r="I52" s="19" t="s">
        <v>232</v>
      </c>
      <c r="J52" s="24" t="e">
        <f t="shared" si="0"/>
        <v>#VALUE!</v>
      </c>
      <c r="K52" s="36">
        <f t="shared" si="4"/>
        <v>0</v>
      </c>
      <c r="L52" s="23" t="s">
        <v>232</v>
      </c>
      <c r="M52" s="23" t="s">
        <v>232</v>
      </c>
      <c r="N52" s="24" t="e">
        <f t="shared" si="1"/>
        <v>#VALUE!</v>
      </c>
      <c r="O52" s="24" t="e">
        <f t="shared" si="5"/>
        <v>#VALUE!</v>
      </c>
      <c r="P52" s="24" t="e">
        <f t="shared" si="6"/>
        <v>#VALUE!</v>
      </c>
      <c r="Q52" s="24" t="e">
        <f t="shared" si="7"/>
        <v>#VALUE!</v>
      </c>
      <c r="R52" s="36">
        <f t="shared" si="8"/>
        <v>0</v>
      </c>
      <c r="S52" s="24" t="s">
        <v>232</v>
      </c>
      <c r="T52" s="24" t="e">
        <f t="shared" si="2"/>
        <v>#VALUE!</v>
      </c>
      <c r="U52" s="23" t="e">
        <f t="shared" si="3"/>
        <v>#VALUE!</v>
      </c>
      <c r="V52" s="23" t="e">
        <f t="shared" si="9"/>
        <v>#VALUE!</v>
      </c>
      <c r="W52" s="23" t="e">
        <f t="shared" si="10"/>
        <v>#VALUE!</v>
      </c>
    </row>
    <row r="53" spans="1:23" x14ac:dyDescent="0.25">
      <c r="A53" s="19" t="s">
        <v>126</v>
      </c>
      <c r="B53" s="19" t="s">
        <v>127</v>
      </c>
      <c r="C53" s="19" t="s">
        <v>29</v>
      </c>
      <c r="D53" s="19" t="s">
        <v>19</v>
      </c>
      <c r="E53" s="19" t="s">
        <v>232</v>
      </c>
      <c r="F53" s="19" t="s">
        <v>232</v>
      </c>
      <c r="G53" s="24">
        <v>1103685</v>
      </c>
      <c r="H53" s="24">
        <v>1306312</v>
      </c>
      <c r="I53" s="19">
        <v>100</v>
      </c>
      <c r="J53" s="24">
        <f t="shared" si="0"/>
        <v>0</v>
      </c>
      <c r="K53" s="36">
        <f t="shared" si="4"/>
        <v>0</v>
      </c>
      <c r="L53" s="23" t="s">
        <v>232</v>
      </c>
      <c r="M53" s="23" t="s">
        <v>232</v>
      </c>
      <c r="N53" s="24" t="e">
        <f t="shared" si="1"/>
        <v>#VALUE!</v>
      </c>
      <c r="O53" s="24" t="e">
        <f t="shared" si="5"/>
        <v>#VALUE!</v>
      </c>
      <c r="P53" s="24" t="e">
        <f t="shared" si="6"/>
        <v>#VALUE!</v>
      </c>
      <c r="Q53" s="24" t="e">
        <f t="shared" si="7"/>
        <v>#VALUE!</v>
      </c>
      <c r="R53" s="36">
        <f t="shared" si="8"/>
        <v>0</v>
      </c>
      <c r="S53" s="24">
        <v>2097439.0563930012</v>
      </c>
      <c r="T53" s="24">
        <f t="shared" si="2"/>
        <v>31461585.845895018</v>
      </c>
      <c r="U53" s="23" t="e">
        <f t="shared" si="3"/>
        <v>#VALUE!</v>
      </c>
      <c r="V53" s="23" t="e">
        <f t="shared" si="9"/>
        <v>#VALUE!</v>
      </c>
      <c r="W53" s="23" t="e">
        <f t="shared" si="10"/>
        <v>#VALUE!</v>
      </c>
    </row>
    <row r="54" spans="1:23" x14ac:dyDescent="0.25">
      <c r="A54" s="19" t="s">
        <v>128</v>
      </c>
      <c r="B54" s="19" t="s">
        <v>129</v>
      </c>
      <c r="C54" s="19" t="s">
        <v>45</v>
      </c>
      <c r="D54" s="19" t="s">
        <v>19</v>
      </c>
      <c r="E54" s="19" t="s">
        <v>232</v>
      </c>
      <c r="F54" s="19" t="s">
        <v>232</v>
      </c>
      <c r="G54" s="24">
        <v>10474410</v>
      </c>
      <c r="H54" s="24">
        <v>11053125</v>
      </c>
      <c r="I54" s="19">
        <v>100</v>
      </c>
      <c r="J54" s="24">
        <f t="shared" si="0"/>
        <v>0</v>
      </c>
      <c r="K54" s="36">
        <f t="shared" si="4"/>
        <v>0</v>
      </c>
      <c r="L54" s="23" t="s">
        <v>232</v>
      </c>
      <c r="M54" s="23" t="s">
        <v>232</v>
      </c>
      <c r="N54" s="24" t="e">
        <f t="shared" si="1"/>
        <v>#VALUE!</v>
      </c>
      <c r="O54" s="24" t="e">
        <f t="shared" si="5"/>
        <v>#VALUE!</v>
      </c>
      <c r="P54" s="24" t="e">
        <f t="shared" si="6"/>
        <v>#VALUE!</v>
      </c>
      <c r="Q54" s="24" t="e">
        <f t="shared" si="7"/>
        <v>#VALUE!</v>
      </c>
      <c r="R54" s="36">
        <f t="shared" si="8"/>
        <v>0</v>
      </c>
      <c r="S54" s="24">
        <v>1366868039.2637777</v>
      </c>
      <c r="T54" s="24">
        <f t="shared" si="2"/>
        <v>20503020588.956665</v>
      </c>
      <c r="U54" s="23" t="e">
        <f t="shared" si="3"/>
        <v>#VALUE!</v>
      </c>
      <c r="V54" s="23" t="e">
        <f t="shared" si="9"/>
        <v>#VALUE!</v>
      </c>
      <c r="W54" s="23" t="e">
        <f t="shared" si="10"/>
        <v>#VALUE!</v>
      </c>
    </row>
    <row r="55" spans="1:23" x14ac:dyDescent="0.25">
      <c r="A55" s="19" t="s">
        <v>130</v>
      </c>
      <c r="B55" s="19" t="s">
        <v>131</v>
      </c>
      <c r="C55" s="19" t="s">
        <v>45</v>
      </c>
      <c r="D55" s="19" t="s">
        <v>19</v>
      </c>
      <c r="E55" s="19" t="s">
        <v>232</v>
      </c>
      <c r="F55" s="19" t="s">
        <v>232</v>
      </c>
      <c r="G55" s="24">
        <v>5547683</v>
      </c>
      <c r="H55" s="24">
        <v>6009458</v>
      </c>
      <c r="I55" s="19">
        <v>100</v>
      </c>
      <c r="J55" s="24">
        <f t="shared" si="0"/>
        <v>0</v>
      </c>
      <c r="K55" s="36">
        <f t="shared" si="4"/>
        <v>0</v>
      </c>
      <c r="L55" s="23" t="s">
        <v>232</v>
      </c>
      <c r="M55" s="23" t="s">
        <v>232</v>
      </c>
      <c r="N55" s="24" t="e">
        <f t="shared" si="1"/>
        <v>#VALUE!</v>
      </c>
      <c r="O55" s="24" t="e">
        <f t="shared" si="5"/>
        <v>#VALUE!</v>
      </c>
      <c r="P55" s="24" t="e">
        <f t="shared" si="6"/>
        <v>#VALUE!</v>
      </c>
      <c r="Q55" s="24" t="e">
        <f t="shared" si="7"/>
        <v>#VALUE!</v>
      </c>
      <c r="R55" s="36">
        <f t="shared" si="8"/>
        <v>0</v>
      </c>
      <c r="S55" s="24">
        <v>6826937316.8512735</v>
      </c>
      <c r="T55" s="24">
        <f t="shared" si="2"/>
        <v>102404059752.7691</v>
      </c>
      <c r="U55" s="23" t="e">
        <f t="shared" si="3"/>
        <v>#VALUE!</v>
      </c>
      <c r="V55" s="23" t="e">
        <f t="shared" si="9"/>
        <v>#VALUE!</v>
      </c>
      <c r="W55" s="23" t="e">
        <f t="shared" si="10"/>
        <v>#VALUE!</v>
      </c>
    </row>
    <row r="56" spans="1:23" x14ac:dyDescent="0.25">
      <c r="A56" s="19" t="s">
        <v>132</v>
      </c>
      <c r="B56" s="19" t="s">
        <v>133</v>
      </c>
      <c r="C56" s="19" t="s">
        <v>40</v>
      </c>
      <c r="D56" s="19" t="s">
        <v>22</v>
      </c>
      <c r="E56" s="19" t="s">
        <v>232</v>
      </c>
      <c r="F56" s="19" t="s">
        <v>232</v>
      </c>
      <c r="G56" s="24">
        <v>834036</v>
      </c>
      <c r="H56" s="24">
        <v>1075146</v>
      </c>
      <c r="I56" s="19">
        <v>61.4</v>
      </c>
      <c r="J56" s="24">
        <f t="shared" si="0"/>
        <v>415006.35600000003</v>
      </c>
      <c r="K56" s="36">
        <f t="shared" si="4"/>
        <v>415006.35600000003</v>
      </c>
      <c r="L56" s="23">
        <v>123.07692307692308</v>
      </c>
      <c r="M56" s="23" t="s">
        <v>232</v>
      </c>
      <c r="N56" s="24">
        <f t="shared" si="1"/>
        <v>51077705.353846155</v>
      </c>
      <c r="O56" s="24">
        <f t="shared" si="5"/>
        <v>4124269.3187963078</v>
      </c>
      <c r="P56" s="24">
        <f t="shared" si="6"/>
        <v>6186403.9781944621</v>
      </c>
      <c r="Q56" s="24">
        <f t="shared" si="7"/>
        <v>57264109.332040615</v>
      </c>
      <c r="R56" s="36">
        <f t="shared" si="8"/>
        <v>57264109.332040615</v>
      </c>
      <c r="S56" s="24" t="s">
        <v>232</v>
      </c>
      <c r="T56" s="24" t="e">
        <f t="shared" si="2"/>
        <v>#VALUE!</v>
      </c>
      <c r="U56" s="23" t="e">
        <f t="shared" si="3"/>
        <v>#VALUE!</v>
      </c>
      <c r="V56" s="23" t="e">
        <f t="shared" si="9"/>
        <v>#VALUE!</v>
      </c>
      <c r="W56" s="23" t="e">
        <f t="shared" si="10"/>
        <v>#VALUE!</v>
      </c>
    </row>
    <row r="57" spans="1:23" x14ac:dyDescent="0.25">
      <c r="A57" s="19" t="s">
        <v>134</v>
      </c>
      <c r="B57" s="19" t="s">
        <v>135</v>
      </c>
      <c r="C57" s="19" t="s">
        <v>18</v>
      </c>
      <c r="D57" s="19" t="s">
        <v>35</v>
      </c>
      <c r="E57" s="19" t="s">
        <v>468</v>
      </c>
      <c r="F57" s="19" t="s">
        <v>232</v>
      </c>
      <c r="G57" s="24">
        <v>71167</v>
      </c>
      <c r="H57" s="24">
        <v>76952</v>
      </c>
      <c r="I57" s="19" t="s">
        <v>232</v>
      </c>
      <c r="J57" s="24" t="e">
        <f t="shared" si="0"/>
        <v>#VALUE!</v>
      </c>
      <c r="K57" s="36">
        <f t="shared" si="4"/>
        <v>0</v>
      </c>
      <c r="L57" s="23" t="s">
        <v>232</v>
      </c>
      <c r="M57" s="23" t="s">
        <v>232</v>
      </c>
      <c r="N57" s="24" t="e">
        <f t="shared" si="1"/>
        <v>#VALUE!</v>
      </c>
      <c r="O57" s="24" t="e">
        <f t="shared" si="5"/>
        <v>#VALUE!</v>
      </c>
      <c r="P57" s="24" t="e">
        <f t="shared" si="6"/>
        <v>#VALUE!</v>
      </c>
      <c r="Q57" s="24" t="e">
        <f t="shared" si="7"/>
        <v>#VALUE!</v>
      </c>
      <c r="R57" s="36">
        <f t="shared" si="8"/>
        <v>0</v>
      </c>
      <c r="S57" s="24">
        <v>491062.11491866165</v>
      </c>
      <c r="T57" s="24">
        <f t="shared" si="2"/>
        <v>7365931.7237799251</v>
      </c>
      <c r="U57" s="23" t="e">
        <f t="shared" si="3"/>
        <v>#VALUE!</v>
      </c>
      <c r="V57" s="23" t="e">
        <f t="shared" si="9"/>
        <v>#VALUE!</v>
      </c>
      <c r="W57" s="23" t="e">
        <f t="shared" si="10"/>
        <v>#VALUE!</v>
      </c>
    </row>
    <row r="58" spans="1:23" x14ac:dyDescent="0.25">
      <c r="A58" s="19" t="s">
        <v>136</v>
      </c>
      <c r="B58" s="19" t="s">
        <v>137</v>
      </c>
      <c r="C58" s="19" t="s">
        <v>18</v>
      </c>
      <c r="D58" s="19" t="s">
        <v>35</v>
      </c>
      <c r="E58" s="19" t="s">
        <v>468</v>
      </c>
      <c r="F58" s="19" t="s">
        <v>232</v>
      </c>
      <c r="G58" s="24">
        <v>10016797</v>
      </c>
      <c r="H58" s="24">
        <v>12218615</v>
      </c>
      <c r="I58" s="19">
        <v>81.400000000000006</v>
      </c>
      <c r="J58" s="24">
        <f t="shared" si="0"/>
        <v>2272662.3899999992</v>
      </c>
      <c r="K58" s="36">
        <f t="shared" si="4"/>
        <v>2272662.3899999992</v>
      </c>
      <c r="L58" s="23">
        <v>271.17101589161985</v>
      </c>
      <c r="M58" s="23">
        <v>271.17101589161985</v>
      </c>
      <c r="N58" s="24">
        <f t="shared" si="1"/>
        <v>616280169.07497656</v>
      </c>
      <c r="O58" s="24">
        <f t="shared" si="5"/>
        <v>49761542.251958981</v>
      </c>
      <c r="P58" s="24">
        <f t="shared" si="6"/>
        <v>74642313.377938464</v>
      </c>
      <c r="Q58" s="24">
        <f t="shared" si="7"/>
        <v>690922482.45291507</v>
      </c>
      <c r="R58" s="36">
        <f t="shared" si="8"/>
        <v>690922482.45291507</v>
      </c>
      <c r="S58" s="24">
        <v>129924258.050329</v>
      </c>
      <c r="T58" s="24">
        <f t="shared" si="2"/>
        <v>1948863870.754935</v>
      </c>
      <c r="U58" s="23">
        <f t="shared" si="3"/>
        <v>0.35452577926095535</v>
      </c>
      <c r="V58" s="23">
        <f t="shared" si="9"/>
        <v>0.11817525975365178</v>
      </c>
      <c r="W58" s="23">
        <f t="shared" si="10"/>
        <v>1.0635773377828659</v>
      </c>
    </row>
    <row r="59" spans="1:23" x14ac:dyDescent="0.25">
      <c r="A59" s="19" t="s">
        <v>138</v>
      </c>
      <c r="B59" s="19" t="s">
        <v>139</v>
      </c>
      <c r="C59" s="19" t="s">
        <v>18</v>
      </c>
      <c r="D59" s="19" t="s">
        <v>35</v>
      </c>
      <c r="E59" s="19" t="s">
        <v>468</v>
      </c>
      <c r="F59" s="19" t="s">
        <v>232</v>
      </c>
      <c r="G59" s="24">
        <v>15001072</v>
      </c>
      <c r="H59" s="24">
        <v>19648546</v>
      </c>
      <c r="I59" s="19">
        <v>81</v>
      </c>
      <c r="J59" s="24">
        <f t="shared" si="0"/>
        <v>3733223.7399999988</v>
      </c>
      <c r="K59" s="36">
        <f t="shared" si="4"/>
        <v>3733223.7399999988</v>
      </c>
      <c r="L59" s="23">
        <v>228.76498176133404</v>
      </c>
      <c r="M59" s="23" t="s">
        <v>232</v>
      </c>
      <c r="N59" s="24">
        <f t="shared" si="1"/>
        <v>854030860.79207897</v>
      </c>
      <c r="O59" s="24">
        <f t="shared" si="5"/>
        <v>68958721.854656413</v>
      </c>
      <c r="P59" s="24">
        <f t="shared" si="6"/>
        <v>103438082.78198463</v>
      </c>
      <c r="Q59" s="24">
        <f t="shared" si="7"/>
        <v>957468943.57406354</v>
      </c>
      <c r="R59" s="36">
        <f t="shared" si="8"/>
        <v>957468943.57406354</v>
      </c>
      <c r="S59" s="24">
        <v>12579420182.430964</v>
      </c>
      <c r="T59" s="24">
        <f t="shared" si="2"/>
        <v>188691302736.46445</v>
      </c>
      <c r="U59" s="23">
        <f t="shared" si="3"/>
        <v>5.0742611328054256E-3</v>
      </c>
      <c r="V59" s="23">
        <f t="shared" si="9"/>
        <v>1.6914203776018084E-3</v>
      </c>
      <c r="W59" s="23">
        <f t="shared" si="10"/>
        <v>1.5222783398416278E-2</v>
      </c>
    </row>
    <row r="60" spans="1:23" x14ac:dyDescent="0.25">
      <c r="A60" s="19" t="s">
        <v>140</v>
      </c>
      <c r="B60" s="19" t="s">
        <v>141</v>
      </c>
      <c r="C60" s="19" t="s">
        <v>40</v>
      </c>
      <c r="D60" s="19" t="s">
        <v>22</v>
      </c>
      <c r="E60" s="19" t="s">
        <v>466</v>
      </c>
      <c r="F60" s="19" t="s">
        <v>232</v>
      </c>
      <c r="G60" s="24">
        <v>78075705</v>
      </c>
      <c r="H60" s="24">
        <v>102552797</v>
      </c>
      <c r="I60" s="19">
        <v>94.9</v>
      </c>
      <c r="J60" s="24">
        <f t="shared" si="0"/>
        <v>5230192.6469999934</v>
      </c>
      <c r="K60" s="36">
        <f t="shared" si="4"/>
        <v>5230192.6469999934</v>
      </c>
      <c r="L60" s="23">
        <v>206.60459986375579</v>
      </c>
      <c r="M60" s="23">
        <v>206.60459986375579</v>
      </c>
      <c r="N60" s="24">
        <f t="shared" si="1"/>
        <v>1080581859.0437913</v>
      </c>
      <c r="O60" s="24">
        <f t="shared" si="5"/>
        <v>87251582.208490923</v>
      </c>
      <c r="P60" s="24">
        <f t="shared" si="6"/>
        <v>130877373.31273639</v>
      </c>
      <c r="Q60" s="24">
        <f t="shared" si="7"/>
        <v>1211459232.3565278</v>
      </c>
      <c r="R60" s="36">
        <f t="shared" si="8"/>
        <v>1211459232.3565278</v>
      </c>
      <c r="S60" s="24">
        <v>26385352958.727764</v>
      </c>
      <c r="T60" s="24">
        <f t="shared" si="2"/>
        <v>395780294380.91644</v>
      </c>
      <c r="U60" s="23">
        <f t="shared" si="3"/>
        <v>3.0609387318070108E-3</v>
      </c>
      <c r="V60" s="23">
        <f t="shared" si="9"/>
        <v>1.020312910602337E-3</v>
      </c>
      <c r="W60" s="23">
        <f t="shared" si="10"/>
        <v>9.1828161954210334E-3</v>
      </c>
    </row>
    <row r="61" spans="1:23" x14ac:dyDescent="0.25">
      <c r="A61" s="19" t="s">
        <v>142</v>
      </c>
      <c r="B61" s="19" t="s">
        <v>143</v>
      </c>
      <c r="C61" s="19" t="s">
        <v>40</v>
      </c>
      <c r="D61" s="19" t="s">
        <v>35</v>
      </c>
      <c r="E61" s="19" t="s">
        <v>468</v>
      </c>
      <c r="F61" s="19" t="s">
        <v>232</v>
      </c>
      <c r="G61" s="24">
        <v>6218195</v>
      </c>
      <c r="H61" s="24">
        <v>6874758</v>
      </c>
      <c r="I61" s="19">
        <v>70.2</v>
      </c>
      <c r="J61" s="24">
        <f t="shared" si="0"/>
        <v>2048677.8839999996</v>
      </c>
      <c r="K61" s="36">
        <f t="shared" si="4"/>
        <v>2048677.8839999996</v>
      </c>
      <c r="L61" s="23">
        <v>207.10059171597632</v>
      </c>
      <c r="M61" s="23" t="s">
        <v>232</v>
      </c>
      <c r="N61" s="24">
        <f t="shared" si="1"/>
        <v>424282402.0118342</v>
      </c>
      <c r="O61" s="24">
        <f t="shared" si="5"/>
        <v>34258682.550445549</v>
      </c>
      <c r="P61" s="24">
        <f t="shared" si="6"/>
        <v>51388023.82566832</v>
      </c>
      <c r="Q61" s="24">
        <f t="shared" si="7"/>
        <v>475670425.83750254</v>
      </c>
      <c r="R61" s="36">
        <f t="shared" si="8"/>
        <v>475670425.83750254</v>
      </c>
      <c r="S61" s="24">
        <v>390192552.90387428</v>
      </c>
      <c r="T61" s="24">
        <f t="shared" si="2"/>
        <v>5852888293.5581141</v>
      </c>
      <c r="U61" s="23">
        <f t="shared" si="3"/>
        <v>8.1271058318512834E-2</v>
      </c>
      <c r="V61" s="23">
        <f t="shared" si="9"/>
        <v>2.7090352772837608E-2</v>
      </c>
      <c r="W61" s="23">
        <f t="shared" si="10"/>
        <v>0.2438131749555385</v>
      </c>
    </row>
    <row r="62" spans="1:23" x14ac:dyDescent="0.25">
      <c r="A62" s="19" t="s">
        <v>144</v>
      </c>
      <c r="B62" s="19" t="s">
        <v>145</v>
      </c>
      <c r="C62" s="19" t="s">
        <v>29</v>
      </c>
      <c r="D62" s="19" t="s">
        <v>32</v>
      </c>
      <c r="E62" s="19" t="s">
        <v>467</v>
      </c>
      <c r="F62" s="19" t="s">
        <v>232</v>
      </c>
      <c r="G62" s="24">
        <v>696167</v>
      </c>
      <c r="H62" s="24">
        <v>1138788</v>
      </c>
      <c r="I62" s="19" t="s">
        <v>232</v>
      </c>
      <c r="J62" s="24" t="e">
        <f t="shared" si="0"/>
        <v>#VALUE!</v>
      </c>
      <c r="K62" s="36">
        <f t="shared" si="4"/>
        <v>0</v>
      </c>
      <c r="L62" s="23">
        <v>164.44444444444446</v>
      </c>
      <c r="M62" s="23" t="s">
        <v>232</v>
      </c>
      <c r="N62" s="24" t="e">
        <f t="shared" si="1"/>
        <v>#VALUE!</v>
      </c>
      <c r="O62" s="24" t="e">
        <f t="shared" si="5"/>
        <v>#VALUE!</v>
      </c>
      <c r="P62" s="24" t="e">
        <f t="shared" si="6"/>
        <v>#VALUE!</v>
      </c>
      <c r="Q62" s="24" t="e">
        <f t="shared" si="7"/>
        <v>#VALUE!</v>
      </c>
      <c r="R62" s="36">
        <f t="shared" si="8"/>
        <v>0</v>
      </c>
      <c r="S62" s="24">
        <v>6226958917.0209513</v>
      </c>
      <c r="T62" s="24">
        <f t="shared" si="2"/>
        <v>93404383755.31427</v>
      </c>
      <c r="U62" s="23" t="e">
        <f t="shared" si="3"/>
        <v>#VALUE!</v>
      </c>
      <c r="V62" s="23" t="e">
        <f t="shared" si="9"/>
        <v>#VALUE!</v>
      </c>
      <c r="W62" s="23" t="e">
        <f t="shared" si="10"/>
        <v>#VALUE!</v>
      </c>
    </row>
    <row r="63" spans="1:23" x14ac:dyDescent="0.25">
      <c r="A63" s="19" t="s">
        <v>146</v>
      </c>
      <c r="B63" s="19" t="s">
        <v>147</v>
      </c>
      <c r="C63" s="19" t="s">
        <v>14</v>
      </c>
      <c r="D63" s="19" t="s">
        <v>32</v>
      </c>
      <c r="E63" s="19" t="s">
        <v>467</v>
      </c>
      <c r="F63" s="19" t="s">
        <v>232</v>
      </c>
      <c r="G63" s="24">
        <v>5741159</v>
      </c>
      <c r="H63" s="24">
        <v>9782455</v>
      </c>
      <c r="I63" s="19" t="s">
        <v>232</v>
      </c>
      <c r="J63" s="24" t="e">
        <f t="shared" si="0"/>
        <v>#VALUE!</v>
      </c>
      <c r="K63" s="36">
        <f t="shared" si="4"/>
        <v>0</v>
      </c>
      <c r="L63" s="23">
        <v>66.603415559772301</v>
      </c>
      <c r="M63" s="23" t="s">
        <v>232</v>
      </c>
      <c r="N63" s="24" t="e">
        <f t="shared" si="1"/>
        <v>#VALUE!</v>
      </c>
      <c r="O63" s="24" t="e">
        <f t="shared" si="5"/>
        <v>#VALUE!</v>
      </c>
      <c r="P63" s="24" t="e">
        <f t="shared" si="6"/>
        <v>#VALUE!</v>
      </c>
      <c r="Q63" s="24" t="e">
        <f t="shared" si="7"/>
        <v>#VALUE!</v>
      </c>
      <c r="R63" s="36">
        <f t="shared" si="8"/>
        <v>0</v>
      </c>
      <c r="S63" s="24">
        <v>76822965.242555067</v>
      </c>
      <c r="T63" s="24">
        <f t="shared" si="2"/>
        <v>1152344478.6383259</v>
      </c>
      <c r="U63" s="23" t="e">
        <f t="shared" si="3"/>
        <v>#VALUE!</v>
      </c>
      <c r="V63" s="23" t="e">
        <f t="shared" si="9"/>
        <v>#VALUE!</v>
      </c>
      <c r="W63" s="23" t="e">
        <f t="shared" si="10"/>
        <v>#VALUE!</v>
      </c>
    </row>
    <row r="64" spans="1:23" x14ac:dyDescent="0.25">
      <c r="A64" s="19" t="s">
        <v>148</v>
      </c>
      <c r="B64" s="19" t="s">
        <v>149</v>
      </c>
      <c r="C64" s="19" t="s">
        <v>45</v>
      </c>
      <c r="D64" s="19" t="s">
        <v>19</v>
      </c>
      <c r="E64" s="19" t="s">
        <v>232</v>
      </c>
      <c r="F64" s="19" t="s">
        <v>471</v>
      </c>
      <c r="G64" s="24">
        <v>1331475</v>
      </c>
      <c r="H64" s="24">
        <v>1212150</v>
      </c>
      <c r="I64" s="19">
        <v>95.2</v>
      </c>
      <c r="J64" s="24">
        <f t="shared" si="0"/>
        <v>58183.199999999917</v>
      </c>
      <c r="K64" s="36">
        <f t="shared" si="4"/>
        <v>58183.199999999917</v>
      </c>
      <c r="L64" s="23">
        <v>76.733547934264351</v>
      </c>
      <c r="M64" s="23">
        <v>76.733547934264351</v>
      </c>
      <c r="N64" s="24">
        <f t="shared" si="1"/>
        <v>4464603.3661688836</v>
      </c>
      <c r="O64" s="24">
        <f t="shared" si="5"/>
        <v>360494.3988013065</v>
      </c>
      <c r="P64" s="24">
        <f t="shared" si="6"/>
        <v>540741.59820195974</v>
      </c>
      <c r="Q64" s="24">
        <f t="shared" si="7"/>
        <v>5005344.964370843</v>
      </c>
      <c r="R64" s="36">
        <f t="shared" si="8"/>
        <v>5005344.964370843</v>
      </c>
      <c r="S64" s="24">
        <v>524357312.05145437</v>
      </c>
      <c r="T64" s="24">
        <f t="shared" si="2"/>
        <v>7865359680.7718153</v>
      </c>
      <c r="U64" s="23">
        <f t="shared" si="3"/>
        <v>6.3637839431644099E-4</v>
      </c>
      <c r="V64" s="23">
        <f t="shared" si="9"/>
        <v>2.121261314388137E-4</v>
      </c>
      <c r="W64" s="23">
        <f t="shared" si="10"/>
        <v>1.9091351829493232E-3</v>
      </c>
    </row>
    <row r="65" spans="1:23" x14ac:dyDescent="0.25">
      <c r="A65" s="19" t="s">
        <v>150</v>
      </c>
      <c r="B65" s="19" t="s">
        <v>151</v>
      </c>
      <c r="C65" s="19" t="s">
        <v>14</v>
      </c>
      <c r="D65" s="19" t="s">
        <v>32</v>
      </c>
      <c r="E65" s="19" t="s">
        <v>467</v>
      </c>
      <c r="F65" s="19" t="s">
        <v>232</v>
      </c>
      <c r="G65" s="24">
        <v>87095281</v>
      </c>
      <c r="H65" s="24">
        <v>137669707</v>
      </c>
      <c r="I65" s="19">
        <v>21.1</v>
      </c>
      <c r="J65" s="24">
        <f t="shared" si="0"/>
        <v>108621398.82299998</v>
      </c>
      <c r="K65" s="36">
        <f t="shared" si="4"/>
        <v>108621398.82299998</v>
      </c>
      <c r="L65" s="23">
        <v>48.420735522443401</v>
      </c>
      <c r="M65" s="23" t="s">
        <v>232</v>
      </c>
      <c r="N65" s="24">
        <f t="shared" si="1"/>
        <v>5259528024.4863272</v>
      </c>
      <c r="O65" s="24">
        <f t="shared" si="5"/>
        <v>424680590.33714849</v>
      </c>
      <c r="P65" s="24">
        <f t="shared" si="6"/>
        <v>637020885.50572264</v>
      </c>
      <c r="Q65" s="24">
        <f t="shared" si="7"/>
        <v>5896548909.9920502</v>
      </c>
      <c r="R65" s="36">
        <f t="shared" si="8"/>
        <v>5896548909.9920502</v>
      </c>
      <c r="S65" s="24">
        <v>5463318403.1045046</v>
      </c>
      <c r="T65" s="24">
        <f t="shared" si="2"/>
        <v>81949776046.567566</v>
      </c>
      <c r="U65" s="23">
        <f t="shared" si="3"/>
        <v>7.1953203467467253E-2</v>
      </c>
      <c r="V65" s="23">
        <f t="shared" si="9"/>
        <v>2.3984401155822416E-2</v>
      </c>
      <c r="W65" s="23">
        <f t="shared" si="10"/>
        <v>0.21585961040240176</v>
      </c>
    </row>
    <row r="66" spans="1:23" x14ac:dyDescent="0.25">
      <c r="A66" s="19" t="s">
        <v>152</v>
      </c>
      <c r="B66" s="19" t="s">
        <v>153</v>
      </c>
      <c r="C66" s="19" t="s">
        <v>29</v>
      </c>
      <c r="D66" s="19" t="s">
        <v>19</v>
      </c>
      <c r="E66" s="19" t="s">
        <v>232</v>
      </c>
      <c r="F66" s="19" t="s">
        <v>232</v>
      </c>
      <c r="G66" s="24">
        <v>49581</v>
      </c>
      <c r="H66" s="24">
        <v>51875</v>
      </c>
      <c r="I66" s="19" t="s">
        <v>232</v>
      </c>
      <c r="J66" s="24" t="e">
        <f t="shared" si="0"/>
        <v>#VALUE!</v>
      </c>
      <c r="K66" s="36">
        <f t="shared" si="4"/>
        <v>0</v>
      </c>
      <c r="L66" s="23" t="s">
        <v>232</v>
      </c>
      <c r="M66" s="23" t="s">
        <v>232</v>
      </c>
      <c r="N66" s="24" t="e">
        <f t="shared" si="1"/>
        <v>#VALUE!</v>
      </c>
      <c r="O66" s="24" t="e">
        <f t="shared" si="5"/>
        <v>#VALUE!</v>
      </c>
      <c r="P66" s="24" t="e">
        <f t="shared" si="6"/>
        <v>#VALUE!</v>
      </c>
      <c r="Q66" s="24" t="e">
        <f t="shared" si="7"/>
        <v>#VALUE!</v>
      </c>
      <c r="R66" s="36">
        <f t="shared" si="8"/>
        <v>0</v>
      </c>
      <c r="S66" s="24" t="s">
        <v>232</v>
      </c>
      <c r="T66" s="24" t="e">
        <f t="shared" si="2"/>
        <v>#VALUE!</v>
      </c>
      <c r="U66" s="23" t="e">
        <f t="shared" si="3"/>
        <v>#VALUE!</v>
      </c>
      <c r="V66" s="23" t="e">
        <f t="shared" si="9"/>
        <v>#VALUE!</v>
      </c>
      <c r="W66" s="23" t="e">
        <f t="shared" si="10"/>
        <v>#VALUE!</v>
      </c>
    </row>
    <row r="67" spans="1:23" x14ac:dyDescent="0.25">
      <c r="A67" s="19" t="s">
        <v>154</v>
      </c>
      <c r="B67" s="19" t="s">
        <v>155</v>
      </c>
      <c r="C67" s="19" t="s">
        <v>18</v>
      </c>
      <c r="D67" s="19" t="s">
        <v>26</v>
      </c>
      <c r="E67" s="19" t="s">
        <v>473</v>
      </c>
      <c r="F67" s="19" t="s">
        <v>232</v>
      </c>
      <c r="G67" s="24">
        <v>860559</v>
      </c>
      <c r="H67" s="24">
        <v>939469</v>
      </c>
      <c r="I67" s="19">
        <v>87.1</v>
      </c>
      <c r="J67" s="24">
        <f t="shared" ref="J67:J130" si="11">(1-(I67/100))*H67</f>
        <v>121191.501</v>
      </c>
      <c r="K67" s="36">
        <f t="shared" si="4"/>
        <v>121191.501</v>
      </c>
      <c r="L67" s="23">
        <v>190.1840490797546</v>
      </c>
      <c r="M67" s="23" t="s">
        <v>232</v>
      </c>
      <c r="N67" s="24">
        <f t="shared" ref="N67:N130" si="12">L67*J67</f>
        <v>23048690.37423313</v>
      </c>
      <c r="O67" s="24">
        <f t="shared" si="5"/>
        <v>1861066.5042674541</v>
      </c>
      <c r="P67" s="24">
        <f t="shared" si="6"/>
        <v>2791599.7564011812</v>
      </c>
      <c r="Q67" s="24">
        <f t="shared" si="7"/>
        <v>25840290.130634312</v>
      </c>
      <c r="R67" s="36">
        <f t="shared" si="8"/>
        <v>25840290.130634312</v>
      </c>
      <c r="S67" s="24">
        <v>87317583.851148248</v>
      </c>
      <c r="T67" s="24">
        <f t="shared" ref="T67:T130" si="13">S67*15</f>
        <v>1309763757.7672238</v>
      </c>
      <c r="U67" s="23">
        <f t="shared" ref="U67:U130" si="14">Q67/T67</f>
        <v>1.9728970188245768E-2</v>
      </c>
      <c r="V67" s="23">
        <f t="shared" si="9"/>
        <v>6.5763233960819227E-3</v>
      </c>
      <c r="W67" s="23">
        <f t="shared" si="10"/>
        <v>5.9186910564737308E-2</v>
      </c>
    </row>
    <row r="68" spans="1:23" x14ac:dyDescent="0.25">
      <c r="A68" s="19" t="s">
        <v>156</v>
      </c>
      <c r="B68" s="19" t="s">
        <v>157</v>
      </c>
      <c r="C68" s="19" t="s">
        <v>45</v>
      </c>
      <c r="D68" s="19" t="s">
        <v>19</v>
      </c>
      <c r="E68" s="19" t="s">
        <v>232</v>
      </c>
      <c r="F68" s="19" t="s">
        <v>232</v>
      </c>
      <c r="G68" s="24">
        <v>5363352</v>
      </c>
      <c r="H68" s="24">
        <v>5649744</v>
      </c>
      <c r="I68" s="19">
        <v>100</v>
      </c>
      <c r="J68" s="24">
        <f t="shared" si="11"/>
        <v>0</v>
      </c>
      <c r="K68" s="36">
        <f t="shared" ref="K68:K131" si="15">IFERROR(J68,0)</f>
        <v>0</v>
      </c>
      <c r="L68" s="23" t="s">
        <v>232</v>
      </c>
      <c r="M68" s="23" t="s">
        <v>232</v>
      </c>
      <c r="N68" s="24" t="e">
        <f t="shared" si="12"/>
        <v>#VALUE!</v>
      </c>
      <c r="O68" s="24" t="e">
        <f t="shared" ref="O68:O131" si="16">N68*0.080745</f>
        <v>#VALUE!</v>
      </c>
      <c r="P68" s="24" t="e">
        <f t="shared" ref="P68:P131" si="17">(O68/5)*7.5</f>
        <v>#VALUE!</v>
      </c>
      <c r="Q68" s="24" t="e">
        <f t="shared" ref="Q68:Q131" si="18">N68+P68</f>
        <v>#VALUE!</v>
      </c>
      <c r="R68" s="36">
        <f t="shared" ref="R68:R131" si="19">IFERROR(Q68,0)</f>
        <v>0</v>
      </c>
      <c r="S68" s="24">
        <v>3328745232.5822215</v>
      </c>
      <c r="T68" s="24">
        <f t="shared" si="13"/>
        <v>49931178488.733322</v>
      </c>
      <c r="U68" s="23" t="e">
        <f t="shared" si="14"/>
        <v>#VALUE!</v>
      </c>
      <c r="V68" s="23" t="e">
        <f t="shared" ref="V68:V131" si="20">(Q68/2)/(T68*1.5)</f>
        <v>#VALUE!</v>
      </c>
      <c r="W68" s="23" t="e">
        <f t="shared" ref="W68:W131" si="21">(Q68*1.5)/(T68/2)</f>
        <v>#VALUE!</v>
      </c>
    </row>
    <row r="69" spans="1:23" x14ac:dyDescent="0.25">
      <c r="A69" s="19" t="s">
        <v>158</v>
      </c>
      <c r="B69" s="19" t="s">
        <v>159</v>
      </c>
      <c r="C69" s="19" t="s">
        <v>45</v>
      </c>
      <c r="D69" s="19" t="s">
        <v>19</v>
      </c>
      <c r="E69" s="19" t="s">
        <v>232</v>
      </c>
      <c r="F69" s="19" t="s">
        <v>232</v>
      </c>
      <c r="G69" s="24">
        <v>65023142</v>
      </c>
      <c r="H69" s="24">
        <v>69286370</v>
      </c>
      <c r="I69" s="19">
        <v>100</v>
      </c>
      <c r="J69" s="24">
        <f t="shared" si="11"/>
        <v>0</v>
      </c>
      <c r="K69" s="36">
        <f t="shared" si="15"/>
        <v>0</v>
      </c>
      <c r="L69" s="23" t="s">
        <v>232</v>
      </c>
      <c r="M69" s="23" t="s">
        <v>232</v>
      </c>
      <c r="N69" s="24" t="e">
        <f t="shared" si="12"/>
        <v>#VALUE!</v>
      </c>
      <c r="O69" s="24" t="e">
        <f t="shared" si="16"/>
        <v>#VALUE!</v>
      </c>
      <c r="P69" s="24" t="e">
        <f t="shared" si="17"/>
        <v>#VALUE!</v>
      </c>
      <c r="Q69" s="24" t="e">
        <f t="shared" si="18"/>
        <v>#VALUE!</v>
      </c>
      <c r="R69" s="36">
        <f t="shared" si="19"/>
        <v>0</v>
      </c>
      <c r="S69" s="24">
        <v>4406730484.3344297</v>
      </c>
      <c r="T69" s="24">
        <f t="shared" si="13"/>
        <v>66100957265.016449</v>
      </c>
      <c r="U69" s="23" t="e">
        <f t="shared" si="14"/>
        <v>#VALUE!</v>
      </c>
      <c r="V69" s="23" t="e">
        <f t="shared" si="20"/>
        <v>#VALUE!</v>
      </c>
      <c r="W69" s="23" t="e">
        <f t="shared" si="21"/>
        <v>#VALUE!</v>
      </c>
    </row>
    <row r="70" spans="1:23" x14ac:dyDescent="0.25">
      <c r="A70" s="19" t="s">
        <v>160</v>
      </c>
      <c r="B70" s="19" t="s">
        <v>161</v>
      </c>
      <c r="C70" s="19" t="s">
        <v>29</v>
      </c>
      <c r="D70" s="19" t="s">
        <v>26</v>
      </c>
      <c r="E70" s="19" t="s">
        <v>473</v>
      </c>
      <c r="F70" s="19" t="s">
        <v>232</v>
      </c>
      <c r="G70" s="24">
        <v>268065</v>
      </c>
      <c r="H70" s="24">
        <v>318041</v>
      </c>
      <c r="I70" s="19">
        <v>97.1</v>
      </c>
      <c r="J70" s="24">
        <f t="shared" si="11"/>
        <v>9223.1890000000076</v>
      </c>
      <c r="K70" s="36">
        <f t="shared" si="15"/>
        <v>9223.1890000000076</v>
      </c>
      <c r="L70" s="23">
        <v>227.27272727272728</v>
      </c>
      <c r="M70" s="23" t="s">
        <v>232</v>
      </c>
      <c r="N70" s="24">
        <f t="shared" si="12"/>
        <v>2096179.31818182</v>
      </c>
      <c r="O70" s="24">
        <f t="shared" si="16"/>
        <v>169255.99904659105</v>
      </c>
      <c r="P70" s="24">
        <f t="shared" si="17"/>
        <v>253883.99856988658</v>
      </c>
      <c r="Q70" s="24">
        <f t="shared" si="18"/>
        <v>2350063.3167517064</v>
      </c>
      <c r="R70" s="36">
        <f t="shared" si="19"/>
        <v>2350063.3167517064</v>
      </c>
      <c r="S70" s="24" t="s">
        <v>232</v>
      </c>
      <c r="T70" s="24" t="e">
        <f t="shared" si="13"/>
        <v>#VALUE!</v>
      </c>
      <c r="U70" s="23" t="e">
        <f t="shared" si="14"/>
        <v>#VALUE!</v>
      </c>
      <c r="V70" s="23" t="e">
        <f t="shared" si="20"/>
        <v>#VALUE!</v>
      </c>
      <c r="W70" s="23" t="e">
        <f t="shared" si="21"/>
        <v>#VALUE!</v>
      </c>
    </row>
    <row r="71" spans="1:23" x14ac:dyDescent="0.25">
      <c r="A71" s="19" t="s">
        <v>162</v>
      </c>
      <c r="B71" s="19" t="s">
        <v>163</v>
      </c>
      <c r="C71" s="19" t="s">
        <v>18</v>
      </c>
      <c r="D71" s="19" t="s">
        <v>32</v>
      </c>
      <c r="E71" s="19" t="s">
        <v>467</v>
      </c>
      <c r="F71" s="19" t="s">
        <v>232</v>
      </c>
      <c r="G71" s="24">
        <v>1556222</v>
      </c>
      <c r="H71" s="24">
        <v>2382369</v>
      </c>
      <c r="I71" s="19">
        <v>40.9</v>
      </c>
      <c r="J71" s="24">
        <f t="shared" si="11"/>
        <v>1407980.0789999999</v>
      </c>
      <c r="K71" s="36">
        <f t="shared" si="15"/>
        <v>1407980.0789999999</v>
      </c>
      <c r="L71" s="23">
        <v>92.173913043478265</v>
      </c>
      <c r="M71" s="23" t="s">
        <v>232</v>
      </c>
      <c r="N71" s="24">
        <f t="shared" si="12"/>
        <v>129779033.36869565</v>
      </c>
      <c r="O71" s="24">
        <f t="shared" si="16"/>
        <v>10479008.04935533</v>
      </c>
      <c r="P71" s="24">
        <f t="shared" si="17"/>
        <v>15718512.074032994</v>
      </c>
      <c r="Q71" s="24">
        <f t="shared" si="18"/>
        <v>145497545.44272864</v>
      </c>
      <c r="R71" s="36">
        <f t="shared" si="19"/>
        <v>145497545.44272864</v>
      </c>
      <c r="S71" s="24">
        <v>6654882999.5966587</v>
      </c>
      <c r="T71" s="24">
        <f t="shared" si="13"/>
        <v>99823244993.949875</v>
      </c>
      <c r="U71" s="23">
        <f t="shared" si="14"/>
        <v>1.4575517501113795E-3</v>
      </c>
      <c r="V71" s="23">
        <f t="shared" si="20"/>
        <v>4.8585058337045987E-4</v>
      </c>
      <c r="W71" s="23">
        <f t="shared" si="21"/>
        <v>4.3726552503341384E-3</v>
      </c>
    </row>
    <row r="72" spans="1:23" x14ac:dyDescent="0.25">
      <c r="A72" s="19" t="s">
        <v>164</v>
      </c>
      <c r="B72" s="19" t="s">
        <v>165</v>
      </c>
      <c r="C72" s="19" t="s">
        <v>14</v>
      </c>
      <c r="D72" s="19" t="s">
        <v>32</v>
      </c>
      <c r="E72" s="19" t="s">
        <v>467</v>
      </c>
      <c r="F72" s="19" t="s">
        <v>232</v>
      </c>
      <c r="G72" s="24">
        <v>1680640</v>
      </c>
      <c r="H72" s="24">
        <v>3056357</v>
      </c>
      <c r="I72" s="19">
        <v>60.2</v>
      </c>
      <c r="J72" s="24">
        <f t="shared" si="11"/>
        <v>1216430.0860000001</v>
      </c>
      <c r="K72" s="36">
        <f t="shared" si="15"/>
        <v>1216430.0860000001</v>
      </c>
      <c r="L72" s="23">
        <v>133.83254909236055</v>
      </c>
      <c r="M72" s="23">
        <v>133.83254909236055</v>
      </c>
      <c r="N72" s="24">
        <f t="shared" si="12"/>
        <v>162797939.20201939</v>
      </c>
      <c r="O72" s="24">
        <f t="shared" si="16"/>
        <v>13145119.600867055</v>
      </c>
      <c r="P72" s="24">
        <f t="shared" si="17"/>
        <v>19717679.401300583</v>
      </c>
      <c r="Q72" s="24">
        <f t="shared" si="18"/>
        <v>182515618.60331997</v>
      </c>
      <c r="R72" s="36">
        <f t="shared" si="19"/>
        <v>182515618.60331997</v>
      </c>
      <c r="S72" s="24">
        <v>45972784.152787477</v>
      </c>
      <c r="T72" s="24">
        <f t="shared" si="13"/>
        <v>689591762.29181218</v>
      </c>
      <c r="U72" s="23">
        <f t="shared" si="14"/>
        <v>0.26467198215469034</v>
      </c>
      <c r="V72" s="23">
        <f t="shared" si="20"/>
        <v>8.8223994051563448E-2</v>
      </c>
      <c r="W72" s="23">
        <f t="shared" si="21"/>
        <v>0.79401594646407092</v>
      </c>
    </row>
    <row r="73" spans="1:23" x14ac:dyDescent="0.25">
      <c r="A73" s="19" t="s">
        <v>166</v>
      </c>
      <c r="B73" s="19" t="s">
        <v>167</v>
      </c>
      <c r="C73" s="19" t="s">
        <v>40</v>
      </c>
      <c r="D73" s="19" t="s">
        <v>19</v>
      </c>
      <c r="E73" s="19" t="s">
        <v>469</v>
      </c>
      <c r="F73" s="19" t="s">
        <v>232</v>
      </c>
      <c r="G73" s="24">
        <v>4452800</v>
      </c>
      <c r="H73" s="24">
        <v>3953077</v>
      </c>
      <c r="I73" s="19">
        <v>93.6</v>
      </c>
      <c r="J73" s="24">
        <f t="shared" si="11"/>
        <v>252996.92800000022</v>
      </c>
      <c r="K73" s="36">
        <f t="shared" si="15"/>
        <v>252996.92800000022</v>
      </c>
      <c r="L73" s="23">
        <v>194.44444444444446</v>
      </c>
      <c r="M73" s="23" t="s">
        <v>232</v>
      </c>
      <c r="N73" s="24">
        <f t="shared" si="12"/>
        <v>49193847.111111157</v>
      </c>
      <c r="O73" s="24">
        <f t="shared" si="16"/>
        <v>3972157.18498667</v>
      </c>
      <c r="P73" s="24">
        <f t="shared" si="17"/>
        <v>5958235.7774800053</v>
      </c>
      <c r="Q73" s="24">
        <f t="shared" si="18"/>
        <v>55152082.888591163</v>
      </c>
      <c r="R73" s="36">
        <f t="shared" si="19"/>
        <v>55152082.888591163</v>
      </c>
      <c r="S73" s="24">
        <v>123856542.27513833</v>
      </c>
      <c r="T73" s="24">
        <f t="shared" si="13"/>
        <v>1857848134.127075</v>
      </c>
      <c r="U73" s="23">
        <f t="shared" si="14"/>
        <v>2.9686001711062792E-2</v>
      </c>
      <c r="V73" s="23">
        <f t="shared" si="20"/>
        <v>9.8953339036875979E-3</v>
      </c>
      <c r="W73" s="23">
        <f t="shared" si="21"/>
        <v>8.9058005133188373E-2</v>
      </c>
    </row>
    <row r="74" spans="1:23" x14ac:dyDescent="0.25">
      <c r="A74" s="19" t="s">
        <v>168</v>
      </c>
      <c r="B74" s="19" t="s">
        <v>169</v>
      </c>
      <c r="C74" s="19" t="s">
        <v>45</v>
      </c>
      <c r="D74" s="19" t="s">
        <v>19</v>
      </c>
      <c r="E74" s="19" t="s">
        <v>232</v>
      </c>
      <c r="F74" s="19" t="s">
        <v>232</v>
      </c>
      <c r="G74" s="24">
        <v>81776930</v>
      </c>
      <c r="H74" s="24">
        <v>79551501</v>
      </c>
      <c r="I74" s="19">
        <v>100</v>
      </c>
      <c r="J74" s="24">
        <f t="shared" si="11"/>
        <v>0</v>
      </c>
      <c r="K74" s="36">
        <f t="shared" si="15"/>
        <v>0</v>
      </c>
      <c r="L74" s="23" t="s">
        <v>232</v>
      </c>
      <c r="M74" s="23" t="s">
        <v>232</v>
      </c>
      <c r="N74" s="24" t="e">
        <f t="shared" si="12"/>
        <v>#VALUE!</v>
      </c>
      <c r="O74" s="24" t="e">
        <f t="shared" si="16"/>
        <v>#VALUE!</v>
      </c>
      <c r="P74" s="24" t="e">
        <f t="shared" si="17"/>
        <v>#VALUE!</v>
      </c>
      <c r="Q74" s="24" t="e">
        <f t="shared" si="18"/>
        <v>#VALUE!</v>
      </c>
      <c r="R74" s="36">
        <f t="shared" si="19"/>
        <v>0</v>
      </c>
      <c r="S74" s="24">
        <v>6763891296.0023947</v>
      </c>
      <c r="T74" s="24">
        <f t="shared" si="13"/>
        <v>101458369440.03592</v>
      </c>
      <c r="U74" s="23" t="e">
        <f t="shared" si="14"/>
        <v>#VALUE!</v>
      </c>
      <c r="V74" s="23" t="e">
        <f t="shared" si="20"/>
        <v>#VALUE!</v>
      </c>
      <c r="W74" s="23" t="e">
        <f t="shared" si="21"/>
        <v>#VALUE!</v>
      </c>
    </row>
    <row r="75" spans="1:23" x14ac:dyDescent="0.25">
      <c r="A75" s="19" t="s">
        <v>170</v>
      </c>
      <c r="B75" s="19" t="s">
        <v>171</v>
      </c>
      <c r="C75" s="19" t="s">
        <v>40</v>
      </c>
      <c r="D75" s="19" t="s">
        <v>32</v>
      </c>
      <c r="E75" s="19" t="s">
        <v>467</v>
      </c>
      <c r="F75" s="19" t="s">
        <v>232</v>
      </c>
      <c r="G75" s="24">
        <v>24262901</v>
      </c>
      <c r="H75" s="24">
        <v>35264291</v>
      </c>
      <c r="I75" s="19">
        <v>13.7</v>
      </c>
      <c r="J75" s="24">
        <f t="shared" si="11"/>
        <v>30433083.133000001</v>
      </c>
      <c r="K75" s="36">
        <f t="shared" si="15"/>
        <v>30433083.133000001</v>
      </c>
      <c r="L75" s="23">
        <v>184.48370831744418</v>
      </c>
      <c r="M75" s="23" t="s">
        <v>232</v>
      </c>
      <c r="N75" s="24">
        <f t="shared" si="12"/>
        <v>5614408031.9089022</v>
      </c>
      <c r="O75" s="24">
        <f t="shared" si="16"/>
        <v>453335376.5364843</v>
      </c>
      <c r="P75" s="24">
        <f t="shared" si="17"/>
        <v>680003064.80472648</v>
      </c>
      <c r="Q75" s="24">
        <f t="shared" si="18"/>
        <v>6294411096.7136288</v>
      </c>
      <c r="R75" s="36">
        <f t="shared" si="19"/>
        <v>6294411096.7136288</v>
      </c>
      <c r="S75" s="24">
        <v>4194607406.4218354</v>
      </c>
      <c r="T75" s="24">
        <f t="shared" si="13"/>
        <v>62919111096.32753</v>
      </c>
      <c r="U75" s="23">
        <f t="shared" si="14"/>
        <v>0.10003973335028603</v>
      </c>
      <c r="V75" s="23">
        <f t="shared" si="20"/>
        <v>3.3346577783428671E-2</v>
      </c>
      <c r="W75" s="23">
        <f t="shared" si="21"/>
        <v>0.30011920005085807</v>
      </c>
    </row>
    <row r="76" spans="1:23" x14ac:dyDescent="0.25">
      <c r="A76" s="19" t="s">
        <v>172</v>
      </c>
      <c r="B76" s="19" t="s">
        <v>173</v>
      </c>
      <c r="C76" s="19" t="s">
        <v>45</v>
      </c>
      <c r="D76" s="19" t="s">
        <v>19</v>
      </c>
      <c r="E76" s="19" t="s">
        <v>232</v>
      </c>
      <c r="F76" s="19" t="s">
        <v>471</v>
      </c>
      <c r="G76" s="24">
        <v>11153454</v>
      </c>
      <c r="H76" s="24">
        <v>10975530</v>
      </c>
      <c r="I76" s="19">
        <v>98.6</v>
      </c>
      <c r="J76" s="24">
        <f t="shared" si="11"/>
        <v>153657.42000000013</v>
      </c>
      <c r="K76" s="36">
        <f t="shared" si="15"/>
        <v>153657.42000000013</v>
      </c>
      <c r="L76" s="23">
        <v>76.733547934264351</v>
      </c>
      <c r="M76" s="23">
        <v>76.733547934264351</v>
      </c>
      <c r="N76" s="24">
        <f t="shared" si="12"/>
        <v>11790679.0030254</v>
      </c>
      <c r="O76" s="24">
        <f t="shared" si="16"/>
        <v>952038.3760992859</v>
      </c>
      <c r="P76" s="24">
        <f t="shared" si="17"/>
        <v>1428057.564148929</v>
      </c>
      <c r="Q76" s="24">
        <f t="shared" si="18"/>
        <v>13218736.567174328</v>
      </c>
      <c r="R76" s="36">
        <f t="shared" si="19"/>
        <v>13218736.567174328</v>
      </c>
      <c r="S76" s="24">
        <v>629296452.81922984</v>
      </c>
      <c r="T76" s="24">
        <f t="shared" si="13"/>
        <v>9439446792.2884483</v>
      </c>
      <c r="U76" s="23">
        <f t="shared" si="14"/>
        <v>1.4003719559045949E-3</v>
      </c>
      <c r="V76" s="23">
        <f t="shared" si="20"/>
        <v>4.6679065196819831E-4</v>
      </c>
      <c r="W76" s="23">
        <f t="shared" si="21"/>
        <v>4.2011158677137846E-3</v>
      </c>
    </row>
    <row r="77" spans="1:23" x14ac:dyDescent="0.25">
      <c r="A77" s="19" t="s">
        <v>174</v>
      </c>
      <c r="B77" s="19" t="s">
        <v>175</v>
      </c>
      <c r="C77" s="19" t="s">
        <v>29</v>
      </c>
      <c r="D77" s="19" t="s">
        <v>19</v>
      </c>
      <c r="E77" s="19" t="s">
        <v>232</v>
      </c>
      <c r="F77" s="19" t="s">
        <v>232</v>
      </c>
      <c r="G77" s="24">
        <v>56905</v>
      </c>
      <c r="H77" s="24">
        <v>54649</v>
      </c>
      <c r="I77" s="19">
        <v>100</v>
      </c>
      <c r="J77" s="24">
        <f t="shared" si="11"/>
        <v>0</v>
      </c>
      <c r="K77" s="36">
        <f t="shared" si="15"/>
        <v>0</v>
      </c>
      <c r="L77" s="23" t="s">
        <v>232</v>
      </c>
      <c r="M77" s="23" t="s">
        <v>232</v>
      </c>
      <c r="N77" s="24" t="e">
        <f t="shared" si="12"/>
        <v>#VALUE!</v>
      </c>
      <c r="O77" s="24" t="e">
        <f t="shared" si="16"/>
        <v>#VALUE!</v>
      </c>
      <c r="P77" s="24" t="e">
        <f t="shared" si="17"/>
        <v>#VALUE!</v>
      </c>
      <c r="Q77" s="24" t="e">
        <f t="shared" si="18"/>
        <v>#VALUE!</v>
      </c>
      <c r="R77" s="36">
        <f t="shared" si="19"/>
        <v>0</v>
      </c>
      <c r="S77" s="24" t="s">
        <v>232</v>
      </c>
      <c r="T77" s="24" t="e">
        <f t="shared" si="13"/>
        <v>#VALUE!</v>
      </c>
      <c r="U77" s="23" t="e">
        <f t="shared" si="14"/>
        <v>#VALUE!</v>
      </c>
      <c r="V77" s="23" t="e">
        <f t="shared" si="20"/>
        <v>#VALUE!</v>
      </c>
      <c r="W77" s="23" t="e">
        <f t="shared" si="21"/>
        <v>#VALUE!</v>
      </c>
    </row>
    <row r="78" spans="1:23" s="31" customFormat="1" x14ac:dyDescent="0.25">
      <c r="A78" s="31" t="s">
        <v>176</v>
      </c>
      <c r="B78" s="31" t="s">
        <v>177</v>
      </c>
      <c r="C78" s="31" t="s">
        <v>18</v>
      </c>
      <c r="D78" s="31" t="s">
        <v>35</v>
      </c>
      <c r="E78" s="31" t="s">
        <v>468</v>
      </c>
      <c r="F78" s="19" t="s">
        <v>232</v>
      </c>
      <c r="G78" s="30">
        <v>104677</v>
      </c>
      <c r="H78" s="30">
        <v>107433</v>
      </c>
      <c r="I78" s="31">
        <v>98</v>
      </c>
      <c r="J78" s="24">
        <f t="shared" si="11"/>
        <v>2148.6600000000021</v>
      </c>
      <c r="K78" s="36">
        <f t="shared" si="15"/>
        <v>2148.6600000000021</v>
      </c>
      <c r="L78" s="29">
        <v>142.85714285714286</v>
      </c>
      <c r="M78" s="23" t="s">
        <v>232</v>
      </c>
      <c r="N78" s="24">
        <f t="shared" si="12"/>
        <v>306951.42857142887</v>
      </c>
      <c r="O78" s="24">
        <f t="shared" si="16"/>
        <v>24784.793100000024</v>
      </c>
      <c r="P78" s="24">
        <f t="shared" si="17"/>
        <v>37177.189650000037</v>
      </c>
      <c r="Q78" s="24">
        <f t="shared" si="18"/>
        <v>344128.61822142889</v>
      </c>
      <c r="R78" s="36">
        <f t="shared" si="19"/>
        <v>344128.61822142889</v>
      </c>
      <c r="S78" s="30">
        <v>0</v>
      </c>
      <c r="T78" s="24">
        <f t="shared" si="13"/>
        <v>0</v>
      </c>
      <c r="U78" s="23" t="e">
        <f t="shared" si="14"/>
        <v>#DIV/0!</v>
      </c>
      <c r="V78" s="23" t="e">
        <f t="shared" si="20"/>
        <v>#DIV/0!</v>
      </c>
      <c r="W78" s="23" t="e">
        <f t="shared" si="21"/>
        <v>#DIV/0!</v>
      </c>
    </row>
    <row r="79" spans="1:23" x14ac:dyDescent="0.25">
      <c r="A79" s="19" t="s">
        <v>178</v>
      </c>
      <c r="B79" s="19" t="s">
        <v>179</v>
      </c>
      <c r="C79" s="19" t="s">
        <v>29</v>
      </c>
      <c r="D79" s="19" t="s">
        <v>26</v>
      </c>
      <c r="E79" s="19" t="s">
        <v>473</v>
      </c>
      <c r="F79" s="19" t="s">
        <v>232</v>
      </c>
      <c r="G79" s="24">
        <v>159440</v>
      </c>
      <c r="H79" s="24">
        <v>200008</v>
      </c>
      <c r="I79" s="19">
        <v>89.7</v>
      </c>
      <c r="J79" s="24">
        <f t="shared" si="11"/>
        <v>20600.823999999997</v>
      </c>
      <c r="K79" s="36">
        <f t="shared" si="15"/>
        <v>20600.823999999997</v>
      </c>
      <c r="L79" s="23">
        <v>307.69230769230768</v>
      </c>
      <c r="M79" s="23" t="s">
        <v>232</v>
      </c>
      <c r="N79" s="24">
        <f t="shared" si="12"/>
        <v>6338715.0769230761</v>
      </c>
      <c r="O79" s="24">
        <f t="shared" si="16"/>
        <v>511819.54888615379</v>
      </c>
      <c r="P79" s="24">
        <f t="shared" si="17"/>
        <v>767729.32332923065</v>
      </c>
      <c r="Q79" s="24">
        <f t="shared" si="18"/>
        <v>7106444.4002523068</v>
      </c>
      <c r="R79" s="36">
        <f t="shared" si="19"/>
        <v>7106444.4002523068</v>
      </c>
      <c r="S79" s="24" t="s">
        <v>232</v>
      </c>
      <c r="T79" s="24" t="e">
        <f t="shared" si="13"/>
        <v>#VALUE!</v>
      </c>
      <c r="U79" s="23" t="e">
        <f t="shared" si="14"/>
        <v>#VALUE!</v>
      </c>
      <c r="V79" s="23" t="e">
        <f t="shared" si="20"/>
        <v>#VALUE!</v>
      </c>
      <c r="W79" s="23" t="e">
        <f t="shared" si="21"/>
        <v>#VALUE!</v>
      </c>
    </row>
    <row r="80" spans="1:23" x14ac:dyDescent="0.25">
      <c r="A80" s="19" t="s">
        <v>180</v>
      </c>
      <c r="B80" s="19" t="s">
        <v>181</v>
      </c>
      <c r="C80" s="19" t="s">
        <v>40</v>
      </c>
      <c r="D80" s="19" t="s">
        <v>35</v>
      </c>
      <c r="E80" s="19" t="s">
        <v>468</v>
      </c>
      <c r="F80" s="19" t="s">
        <v>232</v>
      </c>
      <c r="G80" s="24">
        <v>14341576</v>
      </c>
      <c r="H80" s="24">
        <v>22566243</v>
      </c>
      <c r="I80" s="19">
        <v>79.400000000000006</v>
      </c>
      <c r="J80" s="24">
        <f t="shared" si="11"/>
        <v>4648646.0579999993</v>
      </c>
      <c r="K80" s="36">
        <f t="shared" si="15"/>
        <v>4648646.0579999993</v>
      </c>
      <c r="L80" s="23">
        <v>183.48809043197417</v>
      </c>
      <c r="M80" s="23" t="s">
        <v>232</v>
      </c>
      <c r="N80" s="24">
        <f t="shared" si="12"/>
        <v>852971188.27654409</v>
      </c>
      <c r="O80" s="24">
        <f t="shared" si="16"/>
        <v>68873158.597389549</v>
      </c>
      <c r="P80" s="24">
        <f t="shared" si="17"/>
        <v>103309737.89608432</v>
      </c>
      <c r="Q80" s="24">
        <f t="shared" si="18"/>
        <v>956280926.1726284</v>
      </c>
      <c r="R80" s="36">
        <f t="shared" si="19"/>
        <v>956280926.1726284</v>
      </c>
      <c r="S80" s="24">
        <v>1835017152.9300125</v>
      </c>
      <c r="T80" s="24">
        <f t="shared" si="13"/>
        <v>27525257293.950188</v>
      </c>
      <c r="U80" s="23">
        <f t="shared" si="14"/>
        <v>3.4741943225461168E-2</v>
      </c>
      <c r="V80" s="23">
        <f t="shared" si="20"/>
        <v>1.1580647741820391E-2</v>
      </c>
      <c r="W80" s="23">
        <f t="shared" si="21"/>
        <v>0.10422582967638351</v>
      </c>
    </row>
    <row r="81" spans="1:23" x14ac:dyDescent="0.25">
      <c r="A81" s="19" t="s">
        <v>182</v>
      </c>
      <c r="B81" s="19" t="s">
        <v>183</v>
      </c>
      <c r="C81" s="19" t="s">
        <v>14</v>
      </c>
      <c r="D81" s="19" t="s">
        <v>32</v>
      </c>
      <c r="E81" s="19" t="s">
        <v>467</v>
      </c>
      <c r="F81" s="19" t="s">
        <v>232</v>
      </c>
      <c r="G81" s="24">
        <v>10876033</v>
      </c>
      <c r="H81" s="24">
        <v>17322136</v>
      </c>
      <c r="I81" s="19">
        <v>17.899999999999999</v>
      </c>
      <c r="J81" s="24">
        <f t="shared" si="11"/>
        <v>14221473.655999999</v>
      </c>
      <c r="K81" s="36">
        <f t="shared" si="15"/>
        <v>14221473.655999999</v>
      </c>
      <c r="L81" s="23">
        <v>96.066794085102103</v>
      </c>
      <c r="M81" s="23" t="s">
        <v>232</v>
      </c>
      <c r="N81" s="24">
        <f t="shared" si="12"/>
        <v>1366211381.2976561</v>
      </c>
      <c r="O81" s="24">
        <f t="shared" si="16"/>
        <v>110314737.98287924</v>
      </c>
      <c r="P81" s="24">
        <f t="shared" si="17"/>
        <v>165472106.97431886</v>
      </c>
      <c r="Q81" s="24">
        <f t="shared" si="18"/>
        <v>1531683488.271975</v>
      </c>
      <c r="R81" s="36">
        <f t="shared" si="19"/>
        <v>1531683488.271975</v>
      </c>
      <c r="S81" s="24">
        <v>1333953226.6564479</v>
      </c>
      <c r="T81" s="24">
        <f t="shared" si="13"/>
        <v>20009298399.846718</v>
      </c>
      <c r="U81" s="23">
        <f t="shared" si="14"/>
        <v>7.6548585445839951E-2</v>
      </c>
      <c r="V81" s="23">
        <f t="shared" si="20"/>
        <v>2.5516195148613315E-2</v>
      </c>
      <c r="W81" s="23">
        <f t="shared" si="21"/>
        <v>0.22964575633751988</v>
      </c>
    </row>
    <row r="82" spans="1:23" x14ac:dyDescent="0.25">
      <c r="A82" s="19" t="s">
        <v>184</v>
      </c>
      <c r="B82" s="19" t="s">
        <v>185</v>
      </c>
      <c r="C82" s="19" t="s">
        <v>14</v>
      </c>
      <c r="D82" s="19" t="s">
        <v>32</v>
      </c>
      <c r="E82" s="19" t="s">
        <v>467</v>
      </c>
      <c r="F82" s="19" t="s">
        <v>232</v>
      </c>
      <c r="G82" s="24">
        <v>1586624</v>
      </c>
      <c r="H82" s="24">
        <v>2472642</v>
      </c>
      <c r="I82" s="19">
        <v>18.399999999999999</v>
      </c>
      <c r="J82" s="24">
        <f t="shared" si="11"/>
        <v>2017675.8720000002</v>
      </c>
      <c r="K82" s="36">
        <f t="shared" si="15"/>
        <v>2017675.8720000002</v>
      </c>
      <c r="L82" s="23">
        <v>58.939096267190571</v>
      </c>
      <c r="M82" s="23" t="s">
        <v>232</v>
      </c>
      <c r="N82" s="24">
        <f t="shared" si="12"/>
        <v>118919992.45579569</v>
      </c>
      <c r="O82" s="24">
        <f t="shared" si="16"/>
        <v>9602194.7908432223</v>
      </c>
      <c r="P82" s="24">
        <f t="shared" si="17"/>
        <v>14403292.186264833</v>
      </c>
      <c r="Q82" s="24">
        <f t="shared" si="18"/>
        <v>133323284.64206052</v>
      </c>
      <c r="R82" s="36">
        <f t="shared" si="19"/>
        <v>133323284.64206052</v>
      </c>
      <c r="S82" s="24">
        <v>142038641.37615088</v>
      </c>
      <c r="T82" s="24">
        <f t="shared" si="13"/>
        <v>2130579620.6422632</v>
      </c>
      <c r="U82" s="23">
        <f t="shared" si="14"/>
        <v>6.2576063034842241E-2</v>
      </c>
      <c r="V82" s="23">
        <f t="shared" si="20"/>
        <v>2.0858687678280745E-2</v>
      </c>
      <c r="W82" s="23">
        <f t="shared" si="21"/>
        <v>0.18772818910452671</v>
      </c>
    </row>
    <row r="83" spans="1:23" x14ac:dyDescent="0.25">
      <c r="A83" s="19" t="s">
        <v>186</v>
      </c>
      <c r="B83" s="19" t="s">
        <v>187</v>
      </c>
      <c r="C83" s="19" t="s">
        <v>40</v>
      </c>
      <c r="D83" s="19" t="s">
        <v>35</v>
      </c>
      <c r="E83" s="19" t="s">
        <v>468</v>
      </c>
      <c r="F83" s="19" t="s">
        <v>232</v>
      </c>
      <c r="G83" s="24">
        <v>786126</v>
      </c>
      <c r="H83" s="24">
        <v>852670</v>
      </c>
      <c r="I83" s="19">
        <v>83.2</v>
      </c>
      <c r="J83" s="24">
        <f t="shared" si="11"/>
        <v>143248.55999999994</v>
      </c>
      <c r="K83" s="36">
        <f t="shared" si="15"/>
        <v>143248.55999999994</v>
      </c>
      <c r="L83" s="23">
        <v>188.03418803418805</v>
      </c>
      <c r="M83" s="23" t="s">
        <v>232</v>
      </c>
      <c r="N83" s="24">
        <f t="shared" si="12"/>
        <v>26935626.666666657</v>
      </c>
      <c r="O83" s="24">
        <f t="shared" si="16"/>
        <v>2174917.175199999</v>
      </c>
      <c r="P83" s="24">
        <f t="shared" si="17"/>
        <v>3262375.7627999983</v>
      </c>
      <c r="Q83" s="24">
        <f t="shared" si="18"/>
        <v>30198002.429466654</v>
      </c>
      <c r="R83" s="36">
        <f t="shared" si="19"/>
        <v>30198002.429466654</v>
      </c>
      <c r="S83" s="24">
        <v>405082963.00590253</v>
      </c>
      <c r="T83" s="24">
        <f t="shared" si="13"/>
        <v>6076244445.0885382</v>
      </c>
      <c r="U83" s="23">
        <f t="shared" si="14"/>
        <v>4.9698465396460249E-3</v>
      </c>
      <c r="V83" s="23">
        <f t="shared" si="20"/>
        <v>1.6566155132153417E-3</v>
      </c>
      <c r="W83" s="23">
        <f t="shared" si="21"/>
        <v>1.4909539618938076E-2</v>
      </c>
    </row>
    <row r="84" spans="1:23" x14ac:dyDescent="0.25">
      <c r="A84" s="19" t="s">
        <v>188</v>
      </c>
      <c r="B84" s="19" t="s">
        <v>189</v>
      </c>
      <c r="C84" s="19" t="s">
        <v>14</v>
      </c>
      <c r="D84" s="19" t="s">
        <v>35</v>
      </c>
      <c r="E84" s="19" t="s">
        <v>468</v>
      </c>
      <c r="F84" s="19" t="s">
        <v>232</v>
      </c>
      <c r="G84" s="24">
        <v>9896400</v>
      </c>
      <c r="H84" s="24">
        <v>12536811</v>
      </c>
      <c r="I84" s="19">
        <v>23.9</v>
      </c>
      <c r="J84" s="24">
        <f t="shared" si="11"/>
        <v>9540513.1710000001</v>
      </c>
      <c r="K84" s="36">
        <f t="shared" si="15"/>
        <v>9540513.1710000001</v>
      </c>
      <c r="L84" s="23">
        <v>222.59532062391682</v>
      </c>
      <c r="M84" s="23" t="s">
        <v>232</v>
      </c>
      <c r="N84" s="24">
        <f t="shared" si="12"/>
        <v>2123673588.2154465</v>
      </c>
      <c r="O84" s="24">
        <f t="shared" si="16"/>
        <v>171476023.88045621</v>
      </c>
      <c r="P84" s="24">
        <f t="shared" si="17"/>
        <v>257214035.82068431</v>
      </c>
      <c r="Q84" s="24">
        <f t="shared" si="18"/>
        <v>2380887624.0361309</v>
      </c>
      <c r="R84" s="36">
        <f t="shared" si="19"/>
        <v>2380887624.0361309</v>
      </c>
      <c r="S84" s="24">
        <v>161012362.10944861</v>
      </c>
      <c r="T84" s="24">
        <f t="shared" si="13"/>
        <v>2415185431.6417294</v>
      </c>
      <c r="U84" s="23">
        <f t="shared" si="14"/>
        <v>0.98579909966487156</v>
      </c>
      <c r="V84" s="23">
        <f t="shared" si="20"/>
        <v>0.32859969988829052</v>
      </c>
      <c r="W84" s="23">
        <f t="shared" si="21"/>
        <v>2.9573972989946147</v>
      </c>
    </row>
    <row r="85" spans="1:23" x14ac:dyDescent="0.25">
      <c r="A85" s="19" t="s">
        <v>190</v>
      </c>
      <c r="B85" s="19" t="s">
        <v>191</v>
      </c>
      <c r="C85" s="19" t="s">
        <v>40</v>
      </c>
      <c r="D85" s="19" t="s">
        <v>35</v>
      </c>
      <c r="E85" s="19" t="s">
        <v>468</v>
      </c>
      <c r="F85" s="19" t="s">
        <v>232</v>
      </c>
      <c r="G85" s="24">
        <v>7621204</v>
      </c>
      <c r="H85" s="24">
        <v>10811004</v>
      </c>
      <c r="I85" s="19">
        <v>77.3</v>
      </c>
      <c r="J85" s="24">
        <f t="shared" si="11"/>
        <v>2454097.9079999998</v>
      </c>
      <c r="K85" s="36">
        <f t="shared" si="15"/>
        <v>2454097.9079999998</v>
      </c>
      <c r="L85" s="23">
        <v>236.54046543938867</v>
      </c>
      <c r="M85" s="23" t="s">
        <v>232</v>
      </c>
      <c r="N85" s="24">
        <f t="shared" si="12"/>
        <v>580493461.39215004</v>
      </c>
      <c r="O85" s="24">
        <f t="shared" si="16"/>
        <v>46871944.54010915</v>
      </c>
      <c r="P85" s="24">
        <f t="shared" si="17"/>
        <v>70307916.810163721</v>
      </c>
      <c r="Q85" s="24">
        <f t="shared" si="18"/>
        <v>650801378.20231378</v>
      </c>
      <c r="R85" s="36">
        <f t="shared" si="19"/>
        <v>650801378.20231378</v>
      </c>
      <c r="S85" s="24">
        <v>717924436.29793561</v>
      </c>
      <c r="T85" s="24">
        <f t="shared" si="13"/>
        <v>10768866544.469034</v>
      </c>
      <c r="U85" s="23">
        <f t="shared" si="14"/>
        <v>6.0433600464346912E-2</v>
      </c>
      <c r="V85" s="23">
        <f t="shared" si="20"/>
        <v>2.0144533488115637E-2</v>
      </c>
      <c r="W85" s="23">
        <f t="shared" si="21"/>
        <v>0.18130080139304072</v>
      </c>
    </row>
    <row r="86" spans="1:23" x14ac:dyDescent="0.25">
      <c r="A86" s="19" t="s">
        <v>192</v>
      </c>
      <c r="B86" s="19" t="s">
        <v>193</v>
      </c>
      <c r="C86" s="19" t="s">
        <v>29</v>
      </c>
      <c r="D86" s="19" t="s">
        <v>26</v>
      </c>
      <c r="E86" s="19" t="s">
        <v>232</v>
      </c>
      <c r="F86" s="19" t="s">
        <v>232</v>
      </c>
      <c r="G86" s="24">
        <v>7024200</v>
      </c>
      <c r="H86" s="24">
        <v>7885155</v>
      </c>
      <c r="I86" s="19" t="s">
        <v>232</v>
      </c>
      <c r="J86" s="24" t="e">
        <f t="shared" si="11"/>
        <v>#VALUE!</v>
      </c>
      <c r="K86" s="36">
        <f t="shared" si="15"/>
        <v>0</v>
      </c>
      <c r="L86" s="23" t="s">
        <v>232</v>
      </c>
      <c r="M86" s="23" t="s">
        <v>232</v>
      </c>
      <c r="N86" s="24" t="e">
        <f t="shared" si="12"/>
        <v>#VALUE!</v>
      </c>
      <c r="O86" s="24" t="e">
        <f t="shared" si="16"/>
        <v>#VALUE!</v>
      </c>
      <c r="P86" s="24" t="e">
        <f t="shared" si="17"/>
        <v>#VALUE!</v>
      </c>
      <c r="Q86" s="24" t="e">
        <f t="shared" si="18"/>
        <v>#VALUE!</v>
      </c>
      <c r="R86" s="36">
        <f t="shared" si="19"/>
        <v>0</v>
      </c>
      <c r="S86" s="24">
        <v>3134453.5797919827</v>
      </c>
      <c r="T86" s="24">
        <f t="shared" si="13"/>
        <v>47016803.696879737</v>
      </c>
      <c r="U86" s="23" t="e">
        <f t="shared" si="14"/>
        <v>#VALUE!</v>
      </c>
      <c r="V86" s="23" t="e">
        <f t="shared" si="20"/>
        <v>#VALUE!</v>
      </c>
      <c r="W86" s="23" t="e">
        <f t="shared" si="21"/>
        <v>#VALUE!</v>
      </c>
    </row>
    <row r="87" spans="1:23" x14ac:dyDescent="0.25">
      <c r="A87" s="19" t="s">
        <v>194</v>
      </c>
      <c r="B87" s="19" t="s">
        <v>195</v>
      </c>
      <c r="C87" s="19" t="s">
        <v>18</v>
      </c>
      <c r="D87" s="19" t="s">
        <v>19</v>
      </c>
      <c r="E87" s="19" t="s">
        <v>232</v>
      </c>
      <c r="F87" s="19" t="s">
        <v>232</v>
      </c>
      <c r="G87" s="24">
        <v>10000023</v>
      </c>
      <c r="H87" s="24">
        <v>9525243</v>
      </c>
      <c r="I87" s="19">
        <v>100</v>
      </c>
      <c r="J87" s="24">
        <f t="shared" si="11"/>
        <v>0</v>
      </c>
      <c r="K87" s="36">
        <f t="shared" si="15"/>
        <v>0</v>
      </c>
      <c r="L87" s="23" t="s">
        <v>232</v>
      </c>
      <c r="M87" s="23" t="s">
        <v>232</v>
      </c>
      <c r="N87" s="24" t="e">
        <f t="shared" si="12"/>
        <v>#VALUE!</v>
      </c>
      <c r="O87" s="24" t="e">
        <f t="shared" si="16"/>
        <v>#VALUE!</v>
      </c>
      <c r="P87" s="24" t="e">
        <f t="shared" si="17"/>
        <v>#VALUE!</v>
      </c>
      <c r="Q87" s="24" t="e">
        <f t="shared" si="18"/>
        <v>#VALUE!</v>
      </c>
      <c r="R87" s="36">
        <f t="shared" si="19"/>
        <v>0</v>
      </c>
      <c r="S87" s="24">
        <v>1095685098.3472166</v>
      </c>
      <c r="T87" s="24">
        <f t="shared" si="13"/>
        <v>16435276475.208248</v>
      </c>
      <c r="U87" s="23" t="e">
        <f t="shared" si="14"/>
        <v>#VALUE!</v>
      </c>
      <c r="V87" s="23" t="e">
        <f t="shared" si="20"/>
        <v>#VALUE!</v>
      </c>
      <c r="W87" s="23" t="e">
        <f t="shared" si="21"/>
        <v>#VALUE!</v>
      </c>
    </row>
    <row r="88" spans="1:23" x14ac:dyDescent="0.25">
      <c r="A88" s="19" t="s">
        <v>196</v>
      </c>
      <c r="B88" s="19" t="s">
        <v>197</v>
      </c>
      <c r="C88" s="19" t="s">
        <v>45</v>
      </c>
      <c r="D88" s="19" t="s">
        <v>19</v>
      </c>
      <c r="E88" s="19" t="s">
        <v>232</v>
      </c>
      <c r="F88" s="19" t="s">
        <v>232</v>
      </c>
      <c r="G88" s="24">
        <v>318041</v>
      </c>
      <c r="H88" s="24">
        <v>383558</v>
      </c>
      <c r="I88" s="19">
        <v>100</v>
      </c>
      <c r="J88" s="24">
        <f t="shared" si="11"/>
        <v>0</v>
      </c>
      <c r="K88" s="36">
        <f t="shared" si="15"/>
        <v>0</v>
      </c>
      <c r="L88" s="23" t="s">
        <v>232</v>
      </c>
      <c r="M88" s="23" t="s">
        <v>232</v>
      </c>
      <c r="N88" s="24" t="e">
        <f t="shared" si="12"/>
        <v>#VALUE!</v>
      </c>
      <c r="O88" s="24" t="e">
        <f t="shared" si="16"/>
        <v>#VALUE!</v>
      </c>
      <c r="P88" s="24" t="e">
        <f t="shared" si="17"/>
        <v>#VALUE!</v>
      </c>
      <c r="Q88" s="24" t="e">
        <f t="shared" si="18"/>
        <v>#VALUE!</v>
      </c>
      <c r="R88" s="36">
        <f t="shared" si="19"/>
        <v>0</v>
      </c>
      <c r="S88" s="24">
        <v>0</v>
      </c>
      <c r="T88" s="24">
        <f t="shared" si="13"/>
        <v>0</v>
      </c>
      <c r="U88" s="23" t="e">
        <f t="shared" si="14"/>
        <v>#VALUE!</v>
      </c>
      <c r="V88" s="23" t="e">
        <f t="shared" si="20"/>
        <v>#VALUE!</v>
      </c>
      <c r="W88" s="23" t="e">
        <f t="shared" si="21"/>
        <v>#VALUE!</v>
      </c>
    </row>
    <row r="89" spans="1:23" x14ac:dyDescent="0.25">
      <c r="A89" s="19" t="s">
        <v>198</v>
      </c>
      <c r="B89" s="19" t="s">
        <v>199</v>
      </c>
      <c r="C89" s="19" t="s">
        <v>40</v>
      </c>
      <c r="D89" s="19" t="s">
        <v>15</v>
      </c>
      <c r="E89" s="19" t="s">
        <v>465</v>
      </c>
      <c r="F89" s="19" t="s">
        <v>232</v>
      </c>
      <c r="G89" s="24">
        <v>1205624648</v>
      </c>
      <c r="H89" s="24">
        <v>1476377903</v>
      </c>
      <c r="I89" s="19">
        <v>34.200000000000003</v>
      </c>
      <c r="J89" s="24">
        <f t="shared" si="11"/>
        <v>971456660.17399991</v>
      </c>
      <c r="K89" s="36">
        <f t="shared" si="15"/>
        <v>971456660.17399991</v>
      </c>
      <c r="L89" s="23">
        <v>71.518998044111768</v>
      </c>
      <c r="M89" s="23" t="s">
        <v>232</v>
      </c>
      <c r="N89" s="24">
        <f t="shared" si="12"/>
        <v>69477606978.923645</v>
      </c>
      <c r="O89" s="24">
        <f t="shared" si="16"/>
        <v>5609969375.5131893</v>
      </c>
      <c r="P89" s="24">
        <f t="shared" si="17"/>
        <v>8414954063.269783</v>
      </c>
      <c r="Q89" s="24">
        <f t="shared" si="18"/>
        <v>77892561042.19342</v>
      </c>
      <c r="R89" s="36">
        <f t="shared" si="19"/>
        <v>77892561042.19342</v>
      </c>
      <c r="S89" s="24">
        <v>106120979971.95012</v>
      </c>
      <c r="T89" s="24">
        <f t="shared" si="13"/>
        <v>1591814699579.2517</v>
      </c>
      <c r="U89" s="23">
        <f t="shared" si="14"/>
        <v>4.893318365685527E-2</v>
      </c>
      <c r="V89" s="23">
        <f t="shared" si="20"/>
        <v>1.6311061218951758E-2</v>
      </c>
      <c r="W89" s="23">
        <f t="shared" si="21"/>
        <v>0.1467995509705658</v>
      </c>
    </row>
    <row r="90" spans="1:23" x14ac:dyDescent="0.25">
      <c r="A90" s="19" t="s">
        <v>200</v>
      </c>
      <c r="B90" s="19" t="s">
        <v>201</v>
      </c>
      <c r="C90" s="19" t="s">
        <v>40</v>
      </c>
      <c r="D90" s="19" t="s">
        <v>26</v>
      </c>
      <c r="E90" s="19" t="s">
        <v>471</v>
      </c>
      <c r="F90" s="19" t="s">
        <v>232</v>
      </c>
      <c r="G90" s="24">
        <v>240676485</v>
      </c>
      <c r="H90" s="24">
        <v>293482460</v>
      </c>
      <c r="I90" s="19">
        <v>57</v>
      </c>
      <c r="J90" s="24">
        <f t="shared" si="11"/>
        <v>126197457.80000001</v>
      </c>
      <c r="K90" s="36">
        <f t="shared" si="15"/>
        <v>126197457.80000001</v>
      </c>
      <c r="L90" s="23">
        <v>63.160074549596189</v>
      </c>
      <c r="M90" s="23" t="s">
        <v>232</v>
      </c>
      <c r="N90" s="24">
        <f t="shared" si="12"/>
        <v>7970640842.6175194</v>
      </c>
      <c r="O90" s="24">
        <f t="shared" si="16"/>
        <v>643589394.83715153</v>
      </c>
      <c r="P90" s="24">
        <f t="shared" si="17"/>
        <v>965384092.25572729</v>
      </c>
      <c r="Q90" s="24">
        <f t="shared" si="18"/>
        <v>8936024934.8732471</v>
      </c>
      <c r="R90" s="36">
        <f t="shared" si="19"/>
        <v>8936024934.8732471</v>
      </c>
      <c r="S90" s="24">
        <v>59899197819.567902</v>
      </c>
      <c r="T90" s="24">
        <f t="shared" si="13"/>
        <v>898487967293.51855</v>
      </c>
      <c r="U90" s="23">
        <f t="shared" si="14"/>
        <v>9.945625606752306E-3</v>
      </c>
      <c r="V90" s="23">
        <f t="shared" si="20"/>
        <v>3.3152085355841023E-3</v>
      </c>
      <c r="W90" s="23">
        <f t="shared" si="21"/>
        <v>2.9836876820256923E-2</v>
      </c>
    </row>
    <row r="91" spans="1:23" x14ac:dyDescent="0.25">
      <c r="A91" s="19" t="s">
        <v>202</v>
      </c>
      <c r="B91" s="19" t="s">
        <v>203</v>
      </c>
      <c r="C91" s="19" t="s">
        <v>18</v>
      </c>
      <c r="D91" s="19" t="s">
        <v>22</v>
      </c>
      <c r="E91" s="19" t="s">
        <v>465</v>
      </c>
      <c r="F91" s="19" t="s">
        <v>232</v>
      </c>
      <c r="G91" s="24">
        <v>74462314</v>
      </c>
      <c r="H91" s="24">
        <v>91336270</v>
      </c>
      <c r="I91" s="19">
        <v>88.4</v>
      </c>
      <c r="J91" s="24">
        <f t="shared" si="11"/>
        <v>10595007.319999998</v>
      </c>
      <c r="K91" s="36">
        <f t="shared" si="15"/>
        <v>10595007.319999998</v>
      </c>
      <c r="L91" s="23">
        <v>78.105475710744329</v>
      </c>
      <c r="M91" s="23">
        <v>78.105475710744329</v>
      </c>
      <c r="N91" s="24">
        <f t="shared" si="12"/>
        <v>827528086.88741827</v>
      </c>
      <c r="O91" s="24">
        <f t="shared" si="16"/>
        <v>66818755.375724584</v>
      </c>
      <c r="P91" s="24">
        <f t="shared" si="17"/>
        <v>100228133.06358688</v>
      </c>
      <c r="Q91" s="24">
        <f t="shared" si="18"/>
        <v>927756219.9510051</v>
      </c>
      <c r="R91" s="36">
        <f t="shared" si="19"/>
        <v>927756219.9510051</v>
      </c>
      <c r="S91" s="24">
        <v>130357567150.05748</v>
      </c>
      <c r="T91" s="24">
        <f t="shared" si="13"/>
        <v>1955363507250.8623</v>
      </c>
      <c r="U91" s="23">
        <f t="shared" si="14"/>
        <v>4.7446739008409812E-4</v>
      </c>
      <c r="V91" s="23">
        <f t="shared" si="20"/>
        <v>1.5815579669469938E-4</v>
      </c>
      <c r="W91" s="23">
        <f t="shared" si="21"/>
        <v>1.4234021702522945E-3</v>
      </c>
    </row>
    <row r="92" spans="1:23" x14ac:dyDescent="0.25">
      <c r="A92" s="19" t="s">
        <v>204</v>
      </c>
      <c r="B92" s="19" t="s">
        <v>205</v>
      </c>
      <c r="C92" s="19" t="s">
        <v>18</v>
      </c>
      <c r="D92" s="19" t="s">
        <v>22</v>
      </c>
      <c r="E92" s="19" t="s">
        <v>474</v>
      </c>
      <c r="F92" s="19" t="s">
        <v>232</v>
      </c>
      <c r="G92" s="24">
        <v>30962380</v>
      </c>
      <c r="H92" s="24">
        <v>50966609</v>
      </c>
      <c r="I92" s="19">
        <v>83.1</v>
      </c>
      <c r="J92" s="24">
        <f t="shared" si="11"/>
        <v>8613356.921000002</v>
      </c>
      <c r="K92" s="36">
        <f t="shared" si="15"/>
        <v>8613356.921000002</v>
      </c>
      <c r="L92" s="23">
        <v>232.56713876634936</v>
      </c>
      <c r="M92" s="23" t="s">
        <v>232</v>
      </c>
      <c r="N92" s="24">
        <f t="shared" si="12"/>
        <v>2003183774.290303</v>
      </c>
      <c r="O92" s="24">
        <f t="shared" si="16"/>
        <v>161747073.8550705</v>
      </c>
      <c r="P92" s="24">
        <f t="shared" si="17"/>
        <v>242620610.78260577</v>
      </c>
      <c r="Q92" s="24">
        <f t="shared" si="18"/>
        <v>2245804385.0729089</v>
      </c>
      <c r="R92" s="36">
        <f t="shared" si="19"/>
        <v>2245804385.0729089</v>
      </c>
      <c r="S92" s="24">
        <v>60551177603.513367</v>
      </c>
      <c r="T92" s="24">
        <f t="shared" si="13"/>
        <v>908267664052.70044</v>
      </c>
      <c r="U92" s="23">
        <f t="shared" si="14"/>
        <v>2.4726239565241205E-3</v>
      </c>
      <c r="V92" s="23">
        <f t="shared" si="20"/>
        <v>8.2420798550804006E-4</v>
      </c>
      <c r="W92" s="23">
        <f t="shared" si="21"/>
        <v>7.4178718695723624E-3</v>
      </c>
    </row>
    <row r="93" spans="1:23" x14ac:dyDescent="0.25">
      <c r="A93" s="19" t="s">
        <v>206</v>
      </c>
      <c r="B93" s="19" t="s">
        <v>207</v>
      </c>
      <c r="C93" s="19" t="s">
        <v>45</v>
      </c>
      <c r="D93" s="19" t="s">
        <v>19</v>
      </c>
      <c r="E93" s="19" t="s">
        <v>232</v>
      </c>
      <c r="F93" s="19" t="s">
        <v>232</v>
      </c>
      <c r="G93" s="24">
        <v>4560155</v>
      </c>
      <c r="H93" s="24">
        <v>5346841</v>
      </c>
      <c r="I93" s="19">
        <v>99</v>
      </c>
      <c r="J93" s="24">
        <f t="shared" si="11"/>
        <v>53468.410000000047</v>
      </c>
      <c r="K93" s="36">
        <f t="shared" si="15"/>
        <v>53468.410000000047</v>
      </c>
      <c r="L93" s="23" t="s">
        <v>232</v>
      </c>
      <c r="M93" s="23" t="s">
        <v>232</v>
      </c>
      <c r="N93" s="24" t="e">
        <f t="shared" si="12"/>
        <v>#VALUE!</v>
      </c>
      <c r="O93" s="24" t="e">
        <f t="shared" si="16"/>
        <v>#VALUE!</v>
      </c>
      <c r="P93" s="24" t="e">
        <f t="shared" si="17"/>
        <v>#VALUE!</v>
      </c>
      <c r="Q93" s="24" t="e">
        <f t="shared" si="18"/>
        <v>#VALUE!</v>
      </c>
      <c r="R93" s="36">
        <f t="shared" si="19"/>
        <v>0</v>
      </c>
      <c r="S93" s="24">
        <v>414476099.13160717</v>
      </c>
      <c r="T93" s="24">
        <f t="shared" si="13"/>
        <v>6217141486.9741077</v>
      </c>
      <c r="U93" s="23" t="e">
        <f t="shared" si="14"/>
        <v>#VALUE!</v>
      </c>
      <c r="V93" s="23" t="e">
        <f t="shared" si="20"/>
        <v>#VALUE!</v>
      </c>
      <c r="W93" s="23" t="e">
        <f t="shared" si="21"/>
        <v>#VALUE!</v>
      </c>
    </row>
    <row r="94" spans="1:23" x14ac:dyDescent="0.25">
      <c r="A94" s="19" t="s">
        <v>208</v>
      </c>
      <c r="B94" s="19" t="s">
        <v>209</v>
      </c>
      <c r="C94" s="19" t="s">
        <v>29</v>
      </c>
      <c r="D94" s="19" t="s">
        <v>19</v>
      </c>
      <c r="E94" s="19" t="s">
        <v>232</v>
      </c>
      <c r="F94" s="19" t="s">
        <v>232</v>
      </c>
      <c r="G94" s="24">
        <v>83992</v>
      </c>
      <c r="H94" s="24">
        <v>94237</v>
      </c>
      <c r="I94" s="19" t="s">
        <v>232</v>
      </c>
      <c r="J94" s="24" t="e">
        <f t="shared" si="11"/>
        <v>#VALUE!</v>
      </c>
      <c r="K94" s="36">
        <f t="shared" si="15"/>
        <v>0</v>
      </c>
      <c r="L94" s="23" t="s">
        <v>232</v>
      </c>
      <c r="M94" s="23" t="s">
        <v>232</v>
      </c>
      <c r="N94" s="24" t="e">
        <f t="shared" si="12"/>
        <v>#VALUE!</v>
      </c>
      <c r="O94" s="24" t="e">
        <f t="shared" si="16"/>
        <v>#VALUE!</v>
      </c>
      <c r="P94" s="24" t="e">
        <f t="shared" si="17"/>
        <v>#VALUE!</v>
      </c>
      <c r="Q94" s="24" t="e">
        <f t="shared" si="18"/>
        <v>#VALUE!</v>
      </c>
      <c r="R94" s="36">
        <f t="shared" si="19"/>
        <v>0</v>
      </c>
      <c r="S94" s="24" t="s">
        <v>232</v>
      </c>
      <c r="T94" s="24" t="e">
        <f t="shared" si="13"/>
        <v>#VALUE!</v>
      </c>
      <c r="U94" s="23" t="e">
        <f t="shared" si="14"/>
        <v>#VALUE!</v>
      </c>
      <c r="V94" s="23" t="e">
        <f t="shared" si="20"/>
        <v>#VALUE!</v>
      </c>
      <c r="W94" s="23" t="e">
        <f t="shared" si="21"/>
        <v>#VALUE!</v>
      </c>
    </row>
    <row r="95" spans="1:23" x14ac:dyDescent="0.25">
      <c r="A95" s="19" t="s">
        <v>210</v>
      </c>
      <c r="B95" s="19" t="s">
        <v>211</v>
      </c>
      <c r="C95" s="19" t="s">
        <v>45</v>
      </c>
      <c r="D95" s="19" t="s">
        <v>22</v>
      </c>
      <c r="E95" s="19" t="s">
        <v>232</v>
      </c>
      <c r="F95" s="19" t="s">
        <v>232</v>
      </c>
      <c r="G95" s="24">
        <v>7623600</v>
      </c>
      <c r="H95" s="24">
        <v>9632030</v>
      </c>
      <c r="I95" s="19">
        <v>100</v>
      </c>
      <c r="J95" s="24">
        <f t="shared" si="11"/>
        <v>0</v>
      </c>
      <c r="K95" s="36">
        <f t="shared" si="15"/>
        <v>0</v>
      </c>
      <c r="L95" s="23" t="s">
        <v>232</v>
      </c>
      <c r="M95" s="23" t="s">
        <v>232</v>
      </c>
      <c r="N95" s="24" t="e">
        <f t="shared" si="12"/>
        <v>#VALUE!</v>
      </c>
      <c r="O95" s="24" t="e">
        <f t="shared" si="16"/>
        <v>#VALUE!</v>
      </c>
      <c r="P95" s="24" t="e">
        <f t="shared" si="17"/>
        <v>#VALUE!</v>
      </c>
      <c r="Q95" s="24" t="e">
        <f t="shared" si="18"/>
        <v>#VALUE!</v>
      </c>
      <c r="R95" s="36">
        <f t="shared" si="19"/>
        <v>0</v>
      </c>
      <c r="S95" s="24">
        <v>683998780.19966102</v>
      </c>
      <c r="T95" s="24">
        <f t="shared" si="13"/>
        <v>10259981702.994915</v>
      </c>
      <c r="U95" s="23" t="e">
        <f t="shared" si="14"/>
        <v>#VALUE!</v>
      </c>
      <c r="V95" s="23" t="e">
        <f t="shared" si="20"/>
        <v>#VALUE!</v>
      </c>
      <c r="W95" s="23" t="e">
        <f t="shared" si="21"/>
        <v>#VALUE!</v>
      </c>
    </row>
    <row r="96" spans="1:23" x14ac:dyDescent="0.25">
      <c r="A96" s="19" t="s">
        <v>212</v>
      </c>
      <c r="B96" s="19" t="s">
        <v>213</v>
      </c>
      <c r="C96" s="19" t="s">
        <v>45</v>
      </c>
      <c r="D96" s="19" t="s">
        <v>19</v>
      </c>
      <c r="E96" s="19" t="s">
        <v>232</v>
      </c>
      <c r="F96" s="19" t="s">
        <v>232</v>
      </c>
      <c r="G96" s="24">
        <v>59277417</v>
      </c>
      <c r="H96" s="24">
        <v>61211831</v>
      </c>
      <c r="I96" s="19" t="s">
        <v>232</v>
      </c>
      <c r="J96" s="24" t="e">
        <f t="shared" si="11"/>
        <v>#VALUE!</v>
      </c>
      <c r="K96" s="36">
        <f t="shared" si="15"/>
        <v>0</v>
      </c>
      <c r="L96" s="23" t="s">
        <v>232</v>
      </c>
      <c r="M96" s="23" t="s">
        <v>232</v>
      </c>
      <c r="N96" s="24" t="e">
        <f t="shared" si="12"/>
        <v>#VALUE!</v>
      </c>
      <c r="O96" s="24" t="e">
        <f t="shared" si="16"/>
        <v>#VALUE!</v>
      </c>
      <c r="P96" s="24" t="e">
        <f t="shared" si="17"/>
        <v>#VALUE!</v>
      </c>
      <c r="Q96" s="24" t="e">
        <f t="shared" si="18"/>
        <v>#VALUE!</v>
      </c>
      <c r="R96" s="36">
        <f t="shared" si="19"/>
        <v>0</v>
      </c>
      <c r="S96" s="24">
        <v>3978955289.0601716</v>
      </c>
      <c r="T96" s="24">
        <f t="shared" si="13"/>
        <v>59684329335.902573</v>
      </c>
      <c r="U96" s="23" t="e">
        <f t="shared" si="14"/>
        <v>#VALUE!</v>
      </c>
      <c r="V96" s="23" t="e">
        <f t="shared" si="20"/>
        <v>#VALUE!</v>
      </c>
      <c r="W96" s="23" t="e">
        <f t="shared" si="21"/>
        <v>#VALUE!</v>
      </c>
    </row>
    <row r="97" spans="1:23" x14ac:dyDescent="0.25">
      <c r="A97" s="19" t="s">
        <v>214</v>
      </c>
      <c r="B97" s="19" t="s">
        <v>215</v>
      </c>
      <c r="C97" s="19" t="s">
        <v>18</v>
      </c>
      <c r="D97" s="19" t="s">
        <v>35</v>
      </c>
      <c r="E97" s="19" t="s">
        <v>468</v>
      </c>
      <c r="F97" s="19" t="s">
        <v>232</v>
      </c>
      <c r="G97" s="24">
        <v>2690824</v>
      </c>
      <c r="H97" s="24">
        <v>2949838</v>
      </c>
      <c r="I97" s="19">
        <v>80.2</v>
      </c>
      <c r="J97" s="24">
        <f t="shared" si="11"/>
        <v>584067.92399999988</v>
      </c>
      <c r="K97" s="36">
        <f t="shared" si="15"/>
        <v>584067.92399999988</v>
      </c>
      <c r="L97" s="23">
        <v>186.16144975288304</v>
      </c>
      <c r="M97" s="23" t="s">
        <v>232</v>
      </c>
      <c r="N97" s="24">
        <f t="shared" si="12"/>
        <v>108730931.48599669</v>
      </c>
      <c r="O97" s="24">
        <f t="shared" si="16"/>
        <v>8779479.0628368035</v>
      </c>
      <c r="P97" s="24">
        <f t="shared" si="17"/>
        <v>13169218.594255205</v>
      </c>
      <c r="Q97" s="24">
        <f t="shared" si="18"/>
        <v>121900150.0802519</v>
      </c>
      <c r="R97" s="36">
        <f t="shared" si="19"/>
        <v>121900150.0802519</v>
      </c>
      <c r="S97" s="24">
        <v>244066186.95842627</v>
      </c>
      <c r="T97" s="24">
        <f t="shared" si="13"/>
        <v>3660992804.3763938</v>
      </c>
      <c r="U97" s="23">
        <f t="shared" si="14"/>
        <v>3.329701985060747E-2</v>
      </c>
      <c r="V97" s="23">
        <f t="shared" si="20"/>
        <v>1.1099006616869158E-2</v>
      </c>
      <c r="W97" s="23">
        <f t="shared" si="21"/>
        <v>9.9891059551822411E-2</v>
      </c>
    </row>
    <row r="98" spans="1:23" x14ac:dyDescent="0.25">
      <c r="A98" s="19" t="s">
        <v>216</v>
      </c>
      <c r="B98" s="19" t="s">
        <v>217</v>
      </c>
      <c r="C98" s="19" t="s">
        <v>45</v>
      </c>
      <c r="D98" s="19" t="s">
        <v>26</v>
      </c>
      <c r="E98" s="19" t="s">
        <v>232</v>
      </c>
      <c r="F98" s="19" t="s">
        <v>232</v>
      </c>
      <c r="G98" s="24">
        <v>127450459</v>
      </c>
      <c r="H98" s="24">
        <v>120624738</v>
      </c>
      <c r="I98" s="19">
        <v>100</v>
      </c>
      <c r="J98" s="24">
        <f t="shared" si="11"/>
        <v>0</v>
      </c>
      <c r="K98" s="36">
        <f t="shared" si="15"/>
        <v>0</v>
      </c>
      <c r="L98" s="23" t="s">
        <v>232</v>
      </c>
      <c r="M98" s="23" t="s">
        <v>232</v>
      </c>
      <c r="N98" s="24" t="e">
        <f t="shared" si="12"/>
        <v>#VALUE!</v>
      </c>
      <c r="O98" s="24" t="e">
        <f t="shared" si="16"/>
        <v>#VALUE!</v>
      </c>
      <c r="P98" s="24" t="e">
        <f t="shared" si="17"/>
        <v>#VALUE!</v>
      </c>
      <c r="Q98" s="24" t="e">
        <f t="shared" si="18"/>
        <v>#VALUE!</v>
      </c>
      <c r="R98" s="36">
        <f t="shared" si="19"/>
        <v>0</v>
      </c>
      <c r="S98" s="24">
        <v>1629780081.2566016</v>
      </c>
      <c r="T98" s="24">
        <f t="shared" si="13"/>
        <v>24446701218.849022</v>
      </c>
      <c r="U98" s="23" t="e">
        <f t="shared" si="14"/>
        <v>#VALUE!</v>
      </c>
      <c r="V98" s="23" t="e">
        <f t="shared" si="20"/>
        <v>#VALUE!</v>
      </c>
      <c r="W98" s="23" t="e">
        <f t="shared" si="21"/>
        <v>#VALUE!</v>
      </c>
    </row>
    <row r="99" spans="1:23" x14ac:dyDescent="0.25">
      <c r="A99" s="19" t="s">
        <v>218</v>
      </c>
      <c r="B99" s="19" t="s">
        <v>219</v>
      </c>
      <c r="C99" s="19" t="s">
        <v>18</v>
      </c>
      <c r="D99" s="19" t="s">
        <v>22</v>
      </c>
      <c r="E99" s="19" t="s">
        <v>474</v>
      </c>
      <c r="F99" s="19" t="s">
        <v>232</v>
      </c>
      <c r="G99" s="24">
        <v>6046000</v>
      </c>
      <c r="H99" s="24">
        <v>9355173</v>
      </c>
      <c r="I99" s="19">
        <v>98</v>
      </c>
      <c r="J99" s="24">
        <f t="shared" si="11"/>
        <v>187103.46000000017</v>
      </c>
      <c r="K99" s="36">
        <f t="shared" si="15"/>
        <v>187103.46000000017</v>
      </c>
      <c r="L99" s="23">
        <v>281.75895765472313</v>
      </c>
      <c r="M99" s="23" t="s">
        <v>232</v>
      </c>
      <c r="N99" s="24">
        <f t="shared" si="12"/>
        <v>52718075.86319223</v>
      </c>
      <c r="O99" s="24">
        <f t="shared" si="16"/>
        <v>4256721.0355734564</v>
      </c>
      <c r="P99" s="24">
        <f t="shared" si="17"/>
        <v>6385081.5533601847</v>
      </c>
      <c r="Q99" s="24">
        <f t="shared" si="18"/>
        <v>59103157.416552417</v>
      </c>
      <c r="R99" s="36">
        <f t="shared" si="19"/>
        <v>59103157.416552417</v>
      </c>
      <c r="S99" s="24">
        <v>479904568.92910677</v>
      </c>
      <c r="T99" s="24">
        <f t="shared" si="13"/>
        <v>7198568533.9366016</v>
      </c>
      <c r="U99" s="23">
        <f t="shared" si="14"/>
        <v>8.2104042127152371E-3</v>
      </c>
      <c r="V99" s="23">
        <f t="shared" si="20"/>
        <v>2.7368014042384119E-3</v>
      </c>
      <c r="W99" s="23">
        <f t="shared" si="21"/>
        <v>2.4631212638145709E-2</v>
      </c>
    </row>
    <row r="100" spans="1:23" x14ac:dyDescent="0.25">
      <c r="A100" s="19" t="s">
        <v>220</v>
      </c>
      <c r="B100" s="19" t="s">
        <v>221</v>
      </c>
      <c r="C100" s="19" t="s">
        <v>18</v>
      </c>
      <c r="D100" s="19" t="s">
        <v>19</v>
      </c>
      <c r="E100" s="19" t="s">
        <v>469</v>
      </c>
      <c r="F100" s="19" t="s">
        <v>232</v>
      </c>
      <c r="G100" s="24">
        <v>16321581</v>
      </c>
      <c r="H100" s="24">
        <v>18572745</v>
      </c>
      <c r="I100" s="19">
        <v>97.4</v>
      </c>
      <c r="J100" s="24">
        <f t="shared" si="11"/>
        <v>482891.36999999837</v>
      </c>
      <c r="K100" s="36">
        <f t="shared" si="15"/>
        <v>482891.36999999837</v>
      </c>
      <c r="L100" s="23">
        <v>341.10169491525426</v>
      </c>
      <c r="M100" s="23" t="s">
        <v>232</v>
      </c>
      <c r="N100" s="24">
        <f t="shared" si="12"/>
        <v>164715064.76694861</v>
      </c>
      <c r="O100" s="24">
        <f t="shared" si="16"/>
        <v>13299917.904607264</v>
      </c>
      <c r="P100" s="24">
        <f t="shared" si="17"/>
        <v>19949876.856910896</v>
      </c>
      <c r="Q100" s="24">
        <f t="shared" si="18"/>
        <v>184664941.62385949</v>
      </c>
      <c r="R100" s="36">
        <f t="shared" si="19"/>
        <v>184664941.62385949</v>
      </c>
      <c r="S100" s="24">
        <v>52080674870.849876</v>
      </c>
      <c r="T100" s="24">
        <f t="shared" si="13"/>
        <v>781210123062.74817</v>
      </c>
      <c r="U100" s="23">
        <f t="shared" si="14"/>
        <v>2.3638319086275703E-4</v>
      </c>
      <c r="V100" s="23">
        <f t="shared" si="20"/>
        <v>7.8794396954252337E-5</v>
      </c>
      <c r="W100" s="23">
        <f t="shared" si="21"/>
        <v>7.0914957258827102E-4</v>
      </c>
    </row>
    <row r="101" spans="1:23" x14ac:dyDescent="0.25">
      <c r="A101" s="19" t="s">
        <v>222</v>
      </c>
      <c r="B101" s="19" t="s">
        <v>223</v>
      </c>
      <c r="C101" s="19" t="s">
        <v>14</v>
      </c>
      <c r="D101" s="19" t="s">
        <v>32</v>
      </c>
      <c r="E101" s="19" t="s">
        <v>467</v>
      </c>
      <c r="F101" s="19" t="s">
        <v>232</v>
      </c>
      <c r="G101" s="24">
        <v>40909194</v>
      </c>
      <c r="H101" s="24">
        <v>66306062.999999993</v>
      </c>
      <c r="I101" s="19">
        <v>29.1</v>
      </c>
      <c r="J101" s="24">
        <f t="shared" si="11"/>
        <v>47010998.666999996</v>
      </c>
      <c r="K101" s="36">
        <f t="shared" si="15"/>
        <v>47010998.666999996</v>
      </c>
      <c r="L101" s="23">
        <v>149.80065130717961</v>
      </c>
      <c r="M101" s="23" t="s">
        <v>232</v>
      </c>
      <c r="N101" s="24">
        <f t="shared" si="12"/>
        <v>7042278218.917552</v>
      </c>
      <c r="O101" s="24">
        <f t="shared" si="16"/>
        <v>568628754.78649771</v>
      </c>
      <c r="P101" s="24">
        <f t="shared" si="17"/>
        <v>852943132.17974663</v>
      </c>
      <c r="Q101" s="24">
        <f t="shared" si="18"/>
        <v>7895221351.0972986</v>
      </c>
      <c r="R101" s="36">
        <f t="shared" si="19"/>
        <v>7895221351.0972986</v>
      </c>
      <c r="S101" s="24">
        <v>1419333043.2990847</v>
      </c>
      <c r="T101" s="24">
        <f t="shared" si="13"/>
        <v>21289995649.486271</v>
      </c>
      <c r="U101" s="23">
        <f t="shared" si="14"/>
        <v>0.37084184896429562</v>
      </c>
      <c r="V101" s="23">
        <f t="shared" si="20"/>
        <v>0.1236139496547652</v>
      </c>
      <c r="W101" s="23">
        <f t="shared" si="21"/>
        <v>1.112525546892887</v>
      </c>
    </row>
    <row r="102" spans="1:23" ht="16.5" customHeight="1" x14ac:dyDescent="0.25">
      <c r="A102" s="19" t="s">
        <v>224</v>
      </c>
      <c r="B102" s="19" t="s">
        <v>225</v>
      </c>
      <c r="C102" s="19" t="s">
        <v>40</v>
      </c>
      <c r="D102" s="19" t="s">
        <v>26</v>
      </c>
      <c r="E102" s="19" t="s">
        <v>232</v>
      </c>
      <c r="F102" s="19" t="s">
        <v>473</v>
      </c>
      <c r="G102" s="24">
        <v>97743</v>
      </c>
      <c r="H102" s="24">
        <v>130715</v>
      </c>
      <c r="I102" s="19">
        <v>38.799999999999997</v>
      </c>
      <c r="J102" s="24">
        <f t="shared" si="11"/>
        <v>79997.580000000016</v>
      </c>
      <c r="K102" s="36">
        <f t="shared" si="15"/>
        <v>79997.580000000016</v>
      </c>
      <c r="L102" s="23">
        <v>123.43837404437815</v>
      </c>
      <c r="M102" s="23">
        <v>123.43837404437815</v>
      </c>
      <c r="N102" s="24">
        <f t="shared" si="12"/>
        <v>9874771.2026850674</v>
      </c>
      <c r="O102" s="24">
        <f t="shared" si="16"/>
        <v>797338.4007608057</v>
      </c>
      <c r="P102" s="24">
        <f t="shared" si="17"/>
        <v>1196007.6011412085</v>
      </c>
      <c r="Q102" s="24">
        <f t="shared" si="18"/>
        <v>11070778.803826276</v>
      </c>
      <c r="R102" s="36">
        <f t="shared" si="19"/>
        <v>11070778.803826276</v>
      </c>
      <c r="S102" s="24">
        <v>147463.39816805688</v>
      </c>
      <c r="T102" s="24">
        <f t="shared" si="13"/>
        <v>2211950.9725208534</v>
      </c>
      <c r="U102" s="23">
        <f t="shared" si="14"/>
        <v>5.004983809026041</v>
      </c>
      <c r="V102" s="23">
        <f t="shared" si="20"/>
        <v>1.6683279363420136</v>
      </c>
      <c r="W102" s="23">
        <f t="shared" si="21"/>
        <v>15.014951427078122</v>
      </c>
    </row>
    <row r="103" spans="1:23" x14ac:dyDescent="0.25">
      <c r="A103" s="19" t="s">
        <v>226</v>
      </c>
      <c r="B103" s="19" t="s">
        <v>227</v>
      </c>
      <c r="C103" s="19" t="s">
        <v>14</v>
      </c>
      <c r="D103" s="19" t="s">
        <v>26</v>
      </c>
      <c r="E103" s="19" t="s">
        <v>232</v>
      </c>
      <c r="F103" s="19" t="s">
        <v>471</v>
      </c>
      <c r="G103" s="24">
        <v>24500520</v>
      </c>
      <c r="H103" s="24">
        <v>26718625</v>
      </c>
      <c r="I103" s="19">
        <v>79.900000000000006</v>
      </c>
      <c r="J103" s="24">
        <f t="shared" si="11"/>
        <v>5370443.6249999991</v>
      </c>
      <c r="K103" s="36">
        <f t="shared" si="15"/>
        <v>5370443.6249999991</v>
      </c>
      <c r="L103" s="23">
        <v>76.733547934264351</v>
      </c>
      <c r="M103" s="23">
        <v>76.733547934264351</v>
      </c>
      <c r="N103" s="24">
        <f t="shared" si="12"/>
        <v>412093193.32720184</v>
      </c>
      <c r="O103" s="24">
        <f t="shared" si="16"/>
        <v>33274464.895204913</v>
      </c>
      <c r="P103" s="24">
        <f t="shared" si="17"/>
        <v>49911697.342807367</v>
      </c>
      <c r="Q103" s="24">
        <f t="shared" si="18"/>
        <v>462004890.6700092</v>
      </c>
      <c r="R103" s="36">
        <f t="shared" si="19"/>
        <v>462004890.6700092</v>
      </c>
      <c r="S103" s="24" t="s">
        <v>232</v>
      </c>
      <c r="T103" s="24" t="e">
        <f t="shared" si="13"/>
        <v>#VALUE!</v>
      </c>
      <c r="U103" s="23" t="e">
        <f t="shared" si="14"/>
        <v>#VALUE!</v>
      </c>
      <c r="V103" s="23" t="e">
        <f t="shared" si="20"/>
        <v>#VALUE!</v>
      </c>
      <c r="W103" s="23" t="e">
        <f t="shared" si="21"/>
        <v>#VALUE!</v>
      </c>
    </row>
    <row r="104" spans="1:23" x14ac:dyDescent="0.25">
      <c r="A104" s="19" t="s">
        <v>228</v>
      </c>
      <c r="B104" s="19" t="s">
        <v>229</v>
      </c>
      <c r="C104" s="19" t="s">
        <v>45</v>
      </c>
      <c r="D104" s="19" t="s">
        <v>26</v>
      </c>
      <c r="E104" s="19" t="s">
        <v>472</v>
      </c>
      <c r="F104" s="19" t="s">
        <v>232</v>
      </c>
      <c r="G104" s="24">
        <v>49410366</v>
      </c>
      <c r="H104" s="24">
        <v>52190069</v>
      </c>
      <c r="I104" s="19">
        <v>100</v>
      </c>
      <c r="J104" s="24">
        <f t="shared" si="11"/>
        <v>0</v>
      </c>
      <c r="K104" s="36">
        <f t="shared" si="15"/>
        <v>0</v>
      </c>
      <c r="L104" s="23">
        <v>118.39568135600364</v>
      </c>
      <c r="M104" s="23" t="s">
        <v>232</v>
      </c>
      <c r="N104" s="24">
        <f t="shared" si="12"/>
        <v>0</v>
      </c>
      <c r="O104" s="24">
        <f t="shared" si="16"/>
        <v>0</v>
      </c>
      <c r="P104" s="24">
        <f t="shared" si="17"/>
        <v>0</v>
      </c>
      <c r="Q104" s="24">
        <f t="shared" si="18"/>
        <v>0</v>
      </c>
      <c r="R104" s="36">
        <f t="shared" si="19"/>
        <v>0</v>
      </c>
      <c r="S104" s="24">
        <v>614733047.31301725</v>
      </c>
      <c r="T104" s="24">
        <f t="shared" si="13"/>
        <v>9220995709.6952591</v>
      </c>
      <c r="U104" s="23">
        <f t="shared" si="14"/>
        <v>0</v>
      </c>
      <c r="V104" s="23">
        <f t="shared" si="20"/>
        <v>0</v>
      </c>
      <c r="W104" s="23">
        <f t="shared" si="21"/>
        <v>0</v>
      </c>
    </row>
    <row r="105" spans="1:23" x14ac:dyDescent="0.25">
      <c r="A105" s="19" t="s">
        <v>230</v>
      </c>
      <c r="B105" s="19" t="s">
        <v>231</v>
      </c>
      <c r="C105" s="19" t="s">
        <v>40</v>
      </c>
      <c r="D105" s="19" t="s">
        <v>19</v>
      </c>
      <c r="E105" s="19" t="s">
        <v>232</v>
      </c>
      <c r="F105" s="19" t="s">
        <v>232</v>
      </c>
      <c r="G105" s="24">
        <v>1775680</v>
      </c>
      <c r="H105" s="24" t="s">
        <v>232</v>
      </c>
      <c r="I105" s="19" t="s">
        <v>232</v>
      </c>
      <c r="J105" s="24" t="e">
        <f t="shared" si="11"/>
        <v>#VALUE!</v>
      </c>
      <c r="K105" s="36">
        <f t="shared" si="15"/>
        <v>0</v>
      </c>
      <c r="L105" s="23" t="s">
        <v>232</v>
      </c>
      <c r="M105" s="23" t="s">
        <v>232</v>
      </c>
      <c r="N105" s="24" t="e">
        <f t="shared" si="12"/>
        <v>#VALUE!</v>
      </c>
      <c r="O105" s="24" t="e">
        <f t="shared" si="16"/>
        <v>#VALUE!</v>
      </c>
      <c r="P105" s="24" t="e">
        <f t="shared" si="17"/>
        <v>#VALUE!</v>
      </c>
      <c r="Q105" s="24" t="e">
        <f t="shared" si="18"/>
        <v>#VALUE!</v>
      </c>
      <c r="R105" s="36">
        <f t="shared" si="19"/>
        <v>0</v>
      </c>
      <c r="S105" s="24">
        <v>177423641.54793903</v>
      </c>
      <c r="T105" s="24">
        <f t="shared" si="13"/>
        <v>2661354623.2190857</v>
      </c>
      <c r="U105" s="23" t="e">
        <f t="shared" si="14"/>
        <v>#VALUE!</v>
      </c>
      <c r="V105" s="23" t="e">
        <f t="shared" si="20"/>
        <v>#VALUE!</v>
      </c>
      <c r="W105" s="23" t="e">
        <f t="shared" si="21"/>
        <v>#VALUE!</v>
      </c>
    </row>
    <row r="106" spans="1:23" x14ac:dyDescent="0.25">
      <c r="A106" s="19" t="s">
        <v>233</v>
      </c>
      <c r="B106" s="19" t="s">
        <v>234</v>
      </c>
      <c r="C106" s="19" t="s">
        <v>29</v>
      </c>
      <c r="D106" s="19" t="s">
        <v>22</v>
      </c>
      <c r="E106" s="19" t="s">
        <v>474</v>
      </c>
      <c r="F106" s="19" t="s">
        <v>232</v>
      </c>
      <c r="G106" s="24">
        <v>2991580</v>
      </c>
      <c r="H106" s="24">
        <v>4832793</v>
      </c>
      <c r="I106" s="19">
        <v>100</v>
      </c>
      <c r="J106" s="24">
        <f t="shared" si="11"/>
        <v>0</v>
      </c>
      <c r="K106" s="36">
        <f t="shared" si="15"/>
        <v>0</v>
      </c>
      <c r="L106" s="23">
        <v>373.08868501529054</v>
      </c>
      <c r="M106" s="23" t="s">
        <v>232</v>
      </c>
      <c r="N106" s="24">
        <f t="shared" si="12"/>
        <v>0</v>
      </c>
      <c r="O106" s="24">
        <f t="shared" si="16"/>
        <v>0</v>
      </c>
      <c r="P106" s="24">
        <f t="shared" si="17"/>
        <v>0</v>
      </c>
      <c r="Q106" s="24">
        <f t="shared" si="18"/>
        <v>0</v>
      </c>
      <c r="R106" s="36">
        <f t="shared" si="19"/>
        <v>0</v>
      </c>
      <c r="S106" s="24">
        <v>62059401760.996567</v>
      </c>
      <c r="T106" s="24">
        <f t="shared" si="13"/>
        <v>930891026414.94849</v>
      </c>
      <c r="U106" s="23">
        <f t="shared" si="14"/>
        <v>0</v>
      </c>
      <c r="V106" s="23">
        <f t="shared" si="20"/>
        <v>0</v>
      </c>
      <c r="W106" s="23">
        <f t="shared" si="21"/>
        <v>0</v>
      </c>
    </row>
    <row r="107" spans="1:23" x14ac:dyDescent="0.25">
      <c r="A107" s="19" t="s">
        <v>235</v>
      </c>
      <c r="B107" s="19" t="s">
        <v>236</v>
      </c>
      <c r="C107" s="19" t="s">
        <v>14</v>
      </c>
      <c r="D107" s="19" t="s">
        <v>19</v>
      </c>
      <c r="E107" s="19" t="s">
        <v>469</v>
      </c>
      <c r="F107" s="19" t="s">
        <v>232</v>
      </c>
      <c r="G107" s="24">
        <v>5447900</v>
      </c>
      <c r="H107" s="24">
        <v>6871058</v>
      </c>
      <c r="I107" s="19">
        <v>91.8</v>
      </c>
      <c r="J107" s="24">
        <f t="shared" si="11"/>
        <v>563426.75600000052</v>
      </c>
      <c r="K107" s="36">
        <f t="shared" si="15"/>
        <v>563426.75600000052</v>
      </c>
      <c r="L107" s="23">
        <v>319.34731934731934</v>
      </c>
      <c r="M107" s="23">
        <v>319.34731934731934</v>
      </c>
      <c r="N107" s="24">
        <f t="shared" si="12"/>
        <v>179928824.17715633</v>
      </c>
      <c r="O107" s="24">
        <f t="shared" si="16"/>
        <v>14528352.908184487</v>
      </c>
      <c r="P107" s="24">
        <f t="shared" si="17"/>
        <v>21792529.362276729</v>
      </c>
      <c r="Q107" s="24">
        <f t="shared" si="18"/>
        <v>201721353.53943306</v>
      </c>
      <c r="R107" s="36">
        <f t="shared" si="19"/>
        <v>201721353.53943306</v>
      </c>
      <c r="S107" s="24">
        <v>577303538.49183607</v>
      </c>
      <c r="T107" s="24">
        <f t="shared" si="13"/>
        <v>8659553077.3775406</v>
      </c>
      <c r="U107" s="23">
        <f t="shared" si="14"/>
        <v>2.3294661021989183E-2</v>
      </c>
      <c r="V107" s="23">
        <f t="shared" si="20"/>
        <v>7.7648870073297269E-3</v>
      </c>
      <c r="W107" s="23">
        <f t="shared" si="21"/>
        <v>6.9883983065967548E-2</v>
      </c>
    </row>
    <row r="108" spans="1:23" x14ac:dyDescent="0.25">
      <c r="A108" s="19" t="s">
        <v>237</v>
      </c>
      <c r="B108" s="19" t="s">
        <v>238</v>
      </c>
      <c r="C108" s="19" t="s">
        <v>40</v>
      </c>
      <c r="D108" s="19" t="s">
        <v>26</v>
      </c>
      <c r="E108" s="19" t="s">
        <v>471</v>
      </c>
      <c r="F108" s="19" t="s">
        <v>232</v>
      </c>
      <c r="G108" s="24">
        <v>6395713</v>
      </c>
      <c r="H108" s="24">
        <v>8806260</v>
      </c>
      <c r="I108" s="19">
        <v>58.7</v>
      </c>
      <c r="J108" s="24">
        <f t="shared" si="11"/>
        <v>3636985.3799999994</v>
      </c>
      <c r="K108" s="36">
        <f t="shared" si="15"/>
        <v>3636985.3799999994</v>
      </c>
      <c r="L108" s="23">
        <v>140.0738998992274</v>
      </c>
      <c r="M108" s="23" t="s">
        <v>232</v>
      </c>
      <c r="N108" s="24">
        <f t="shared" si="12"/>
        <v>509446726.05307347</v>
      </c>
      <c r="O108" s="24">
        <f t="shared" si="16"/>
        <v>41135275.895155415</v>
      </c>
      <c r="P108" s="24">
        <f t="shared" si="17"/>
        <v>61702913.842733122</v>
      </c>
      <c r="Q108" s="24">
        <f t="shared" si="18"/>
        <v>571149639.89580655</v>
      </c>
      <c r="R108" s="36">
        <f t="shared" si="19"/>
        <v>571149639.89580655</v>
      </c>
      <c r="S108" s="24">
        <v>1331952550.8132415</v>
      </c>
      <c r="T108" s="24">
        <f t="shared" si="13"/>
        <v>19979288262.198624</v>
      </c>
      <c r="U108" s="23">
        <f t="shared" si="14"/>
        <v>2.8587086406698371E-2</v>
      </c>
      <c r="V108" s="23">
        <f t="shared" si="20"/>
        <v>9.529028802232789E-3</v>
      </c>
      <c r="W108" s="23">
        <f t="shared" si="21"/>
        <v>8.5761259220095101E-2</v>
      </c>
    </row>
    <row r="109" spans="1:23" x14ac:dyDescent="0.25">
      <c r="A109" s="19" t="s">
        <v>239</v>
      </c>
      <c r="B109" s="19" t="s">
        <v>240</v>
      </c>
      <c r="C109" s="19" t="s">
        <v>29</v>
      </c>
      <c r="D109" s="19" t="s">
        <v>19</v>
      </c>
      <c r="E109" s="19" t="s">
        <v>232</v>
      </c>
      <c r="F109" s="19" t="s">
        <v>232</v>
      </c>
      <c r="G109" s="24">
        <v>2097555</v>
      </c>
      <c r="H109" s="24">
        <v>1855822</v>
      </c>
      <c r="I109" s="19" t="s">
        <v>232</v>
      </c>
      <c r="J109" s="24" t="e">
        <f t="shared" si="11"/>
        <v>#VALUE!</v>
      </c>
      <c r="K109" s="36">
        <f t="shared" si="15"/>
        <v>0</v>
      </c>
      <c r="L109" s="23" t="s">
        <v>232</v>
      </c>
      <c r="M109" s="23" t="s">
        <v>232</v>
      </c>
      <c r="N109" s="24" t="e">
        <f t="shared" si="12"/>
        <v>#VALUE!</v>
      </c>
      <c r="O109" s="24" t="e">
        <f t="shared" si="16"/>
        <v>#VALUE!</v>
      </c>
      <c r="P109" s="24" t="e">
        <f t="shared" si="17"/>
        <v>#VALUE!</v>
      </c>
      <c r="Q109" s="24" t="e">
        <f t="shared" si="18"/>
        <v>#VALUE!</v>
      </c>
      <c r="R109" s="36">
        <f t="shared" si="19"/>
        <v>0</v>
      </c>
      <c r="S109" s="24">
        <v>581674804.62426615</v>
      </c>
      <c r="T109" s="24">
        <f t="shared" si="13"/>
        <v>8725122069.3639927</v>
      </c>
      <c r="U109" s="23" t="e">
        <f t="shared" si="14"/>
        <v>#VALUE!</v>
      </c>
      <c r="V109" s="23" t="e">
        <f t="shared" si="20"/>
        <v>#VALUE!</v>
      </c>
      <c r="W109" s="23" t="e">
        <f t="shared" si="21"/>
        <v>#VALUE!</v>
      </c>
    </row>
    <row r="110" spans="1:23" x14ac:dyDescent="0.25">
      <c r="A110" s="19" t="s">
        <v>241</v>
      </c>
      <c r="B110" s="19" t="s">
        <v>242</v>
      </c>
      <c r="C110" s="19" t="s">
        <v>18</v>
      </c>
      <c r="D110" s="19" t="s">
        <v>22</v>
      </c>
      <c r="E110" s="19" t="s">
        <v>474</v>
      </c>
      <c r="F110" s="19" t="s">
        <v>232</v>
      </c>
      <c r="G110" s="24">
        <v>4341092</v>
      </c>
      <c r="H110" s="24">
        <v>5171981</v>
      </c>
      <c r="I110" s="19" t="s">
        <v>232</v>
      </c>
      <c r="J110" s="24" t="e">
        <f t="shared" si="11"/>
        <v>#VALUE!</v>
      </c>
      <c r="K110" s="36">
        <f t="shared" si="15"/>
        <v>0</v>
      </c>
      <c r="L110" s="23">
        <v>632.23140495867767</v>
      </c>
      <c r="M110" s="23" t="s">
        <v>232</v>
      </c>
      <c r="N110" s="24" t="e">
        <f t="shared" si="12"/>
        <v>#VALUE!</v>
      </c>
      <c r="O110" s="24" t="e">
        <f t="shared" si="16"/>
        <v>#VALUE!</v>
      </c>
      <c r="P110" s="24" t="e">
        <f t="shared" si="17"/>
        <v>#VALUE!</v>
      </c>
      <c r="Q110" s="24" t="e">
        <f t="shared" si="18"/>
        <v>#VALUE!</v>
      </c>
      <c r="R110" s="36">
        <f t="shared" si="19"/>
        <v>0</v>
      </c>
      <c r="S110" s="24">
        <v>1265644.42328598</v>
      </c>
      <c r="T110" s="24">
        <f t="shared" si="13"/>
        <v>18984666.3492897</v>
      </c>
      <c r="U110" s="23" t="e">
        <f t="shared" si="14"/>
        <v>#VALUE!</v>
      </c>
      <c r="V110" s="23" t="e">
        <f t="shared" si="20"/>
        <v>#VALUE!</v>
      </c>
      <c r="W110" s="23" t="e">
        <f t="shared" si="21"/>
        <v>#VALUE!</v>
      </c>
    </row>
    <row r="111" spans="1:23" x14ac:dyDescent="0.25">
      <c r="A111" s="19" t="s">
        <v>243</v>
      </c>
      <c r="B111" s="19" t="s">
        <v>244</v>
      </c>
      <c r="C111" s="19" t="s">
        <v>40</v>
      </c>
      <c r="D111" s="19" t="s">
        <v>32</v>
      </c>
      <c r="E111" s="19" t="s">
        <v>467</v>
      </c>
      <c r="F111" s="19" t="s">
        <v>232</v>
      </c>
      <c r="G111" s="24">
        <v>2008921</v>
      </c>
      <c r="H111" s="24">
        <v>2419217</v>
      </c>
      <c r="I111" s="19">
        <v>28.7</v>
      </c>
      <c r="J111" s="24">
        <f t="shared" si="11"/>
        <v>1724901.7210000001</v>
      </c>
      <c r="K111" s="36">
        <f t="shared" si="15"/>
        <v>1724901.7210000001</v>
      </c>
      <c r="L111" s="23">
        <v>91.748768472906406</v>
      </c>
      <c r="M111" s="23" t="s">
        <v>232</v>
      </c>
      <c r="N111" s="24">
        <f t="shared" si="12"/>
        <v>158257608.63854682</v>
      </c>
      <c r="O111" s="24">
        <f t="shared" si="16"/>
        <v>12778510.609519463</v>
      </c>
      <c r="P111" s="24">
        <f t="shared" si="17"/>
        <v>19167765.914279193</v>
      </c>
      <c r="Q111" s="24">
        <f t="shared" si="18"/>
        <v>177425374.55282602</v>
      </c>
      <c r="R111" s="36">
        <f t="shared" si="19"/>
        <v>177425374.55282602</v>
      </c>
      <c r="S111" s="24">
        <v>103261507.33429362</v>
      </c>
      <c r="T111" s="24">
        <f t="shared" si="13"/>
        <v>1548922610.0144043</v>
      </c>
      <c r="U111" s="23">
        <f t="shared" si="14"/>
        <v>0.11454760451277553</v>
      </c>
      <c r="V111" s="23">
        <f t="shared" si="20"/>
        <v>3.818253483759184E-2</v>
      </c>
      <c r="W111" s="23">
        <f t="shared" si="21"/>
        <v>0.34364281353832654</v>
      </c>
    </row>
    <row r="112" spans="1:23" x14ac:dyDescent="0.25">
      <c r="A112" s="19" t="s">
        <v>245</v>
      </c>
      <c r="B112" s="19" t="s">
        <v>246</v>
      </c>
      <c r="C112" s="19" t="s">
        <v>14</v>
      </c>
      <c r="D112" s="19" t="s">
        <v>32</v>
      </c>
      <c r="E112" s="19" t="s">
        <v>467</v>
      </c>
      <c r="F112" s="19" t="s">
        <v>232</v>
      </c>
      <c r="G112" s="24">
        <v>3957990</v>
      </c>
      <c r="H112" s="24">
        <v>6395182</v>
      </c>
      <c r="I112" s="19">
        <v>16.3</v>
      </c>
      <c r="J112" s="24">
        <f t="shared" si="11"/>
        <v>5352767.3339999998</v>
      </c>
      <c r="K112" s="36">
        <f t="shared" si="15"/>
        <v>5352767.3339999998</v>
      </c>
      <c r="L112" s="23">
        <v>58.331153544336907</v>
      </c>
      <c r="M112" s="23" t="s">
        <v>232</v>
      </c>
      <c r="N112" s="24">
        <f t="shared" si="12"/>
        <v>312233093.24666488</v>
      </c>
      <c r="O112" s="24">
        <f t="shared" si="16"/>
        <v>25211261.114201955</v>
      </c>
      <c r="P112" s="24">
        <f t="shared" si="17"/>
        <v>37816891.67130293</v>
      </c>
      <c r="Q112" s="24">
        <f t="shared" si="18"/>
        <v>350049984.9179678</v>
      </c>
      <c r="R112" s="36">
        <f t="shared" si="19"/>
        <v>350049984.9179678</v>
      </c>
      <c r="S112" s="24">
        <v>414154618.30642617</v>
      </c>
      <c r="T112" s="24">
        <f t="shared" si="13"/>
        <v>6212319274.5963926</v>
      </c>
      <c r="U112" s="23">
        <f t="shared" si="14"/>
        <v>5.6347713220310972E-2</v>
      </c>
      <c r="V112" s="23">
        <f t="shared" si="20"/>
        <v>1.8782571073436991E-2</v>
      </c>
      <c r="W112" s="23">
        <f t="shared" si="21"/>
        <v>0.1690431396609329</v>
      </c>
    </row>
    <row r="113" spans="1:23" x14ac:dyDescent="0.25">
      <c r="A113" s="19" t="s">
        <v>247</v>
      </c>
      <c r="B113" s="19" t="s">
        <v>248</v>
      </c>
      <c r="C113" s="19" t="s">
        <v>18</v>
      </c>
      <c r="D113" s="19" t="s">
        <v>22</v>
      </c>
      <c r="E113" s="19" t="s">
        <v>466</v>
      </c>
      <c r="F113" s="19" t="s">
        <v>232</v>
      </c>
      <c r="G113" s="24">
        <v>6040612</v>
      </c>
      <c r="H113" s="24">
        <v>7459411</v>
      </c>
      <c r="I113" s="19">
        <v>96.6</v>
      </c>
      <c r="J113" s="24">
        <f t="shared" si="11"/>
        <v>253619.97400000022</v>
      </c>
      <c r="K113" s="36">
        <f t="shared" si="15"/>
        <v>253619.97400000022</v>
      </c>
      <c r="L113" s="23">
        <v>206.60459986375579</v>
      </c>
      <c r="M113" s="23">
        <v>206.60459986375579</v>
      </c>
      <c r="N113" s="24">
        <f t="shared" si="12"/>
        <v>52399053.245726191</v>
      </c>
      <c r="O113" s="24">
        <f t="shared" si="16"/>
        <v>4230961.5543261608</v>
      </c>
      <c r="P113" s="24">
        <f t="shared" si="17"/>
        <v>6346442.3314892408</v>
      </c>
      <c r="Q113" s="24">
        <f t="shared" si="18"/>
        <v>58745495.577215433</v>
      </c>
      <c r="R113" s="36">
        <f t="shared" si="19"/>
        <v>58745495.577215433</v>
      </c>
      <c r="S113" s="24" t="s">
        <v>232</v>
      </c>
      <c r="T113" s="24" t="e">
        <f t="shared" si="13"/>
        <v>#VALUE!</v>
      </c>
      <c r="U113" s="23" t="e">
        <f t="shared" si="14"/>
        <v>#VALUE!</v>
      </c>
      <c r="V113" s="23" t="e">
        <f t="shared" si="20"/>
        <v>#VALUE!</v>
      </c>
      <c r="W113" s="23" t="e">
        <f t="shared" si="21"/>
        <v>#VALUE!</v>
      </c>
    </row>
    <row r="114" spans="1:23" x14ac:dyDescent="0.25">
      <c r="A114" s="19" t="s">
        <v>249</v>
      </c>
      <c r="B114" s="19" t="s">
        <v>250</v>
      </c>
      <c r="C114" s="19" t="s">
        <v>29</v>
      </c>
      <c r="D114" s="19" t="s">
        <v>19</v>
      </c>
      <c r="E114" s="19" t="s">
        <v>232</v>
      </c>
      <c r="F114" s="19" t="s">
        <v>232</v>
      </c>
      <c r="G114" s="24">
        <v>36120</v>
      </c>
      <c r="H114" s="24">
        <v>41314</v>
      </c>
      <c r="I114" s="19" t="s">
        <v>232</v>
      </c>
      <c r="J114" s="24" t="e">
        <f t="shared" si="11"/>
        <v>#VALUE!</v>
      </c>
      <c r="K114" s="36">
        <f t="shared" si="15"/>
        <v>0</v>
      </c>
      <c r="L114" s="23" t="s">
        <v>232</v>
      </c>
      <c r="M114" s="23" t="s">
        <v>232</v>
      </c>
      <c r="N114" s="24" t="e">
        <f t="shared" si="12"/>
        <v>#VALUE!</v>
      </c>
      <c r="O114" s="24" t="e">
        <f t="shared" si="16"/>
        <v>#VALUE!</v>
      </c>
      <c r="P114" s="24" t="e">
        <f t="shared" si="17"/>
        <v>#VALUE!</v>
      </c>
      <c r="Q114" s="24" t="e">
        <f t="shared" si="18"/>
        <v>#VALUE!</v>
      </c>
      <c r="R114" s="36">
        <f t="shared" si="19"/>
        <v>0</v>
      </c>
      <c r="S114" s="24" t="s">
        <v>232</v>
      </c>
      <c r="T114" s="24" t="e">
        <f t="shared" si="13"/>
        <v>#VALUE!</v>
      </c>
      <c r="U114" s="23" t="e">
        <f t="shared" si="14"/>
        <v>#VALUE!</v>
      </c>
      <c r="V114" s="23" t="e">
        <f t="shared" si="20"/>
        <v>#VALUE!</v>
      </c>
      <c r="W114" s="23" t="e">
        <f t="shared" si="21"/>
        <v>#VALUE!</v>
      </c>
    </row>
    <row r="115" spans="1:23" x14ac:dyDescent="0.25">
      <c r="A115" s="19" t="s">
        <v>251</v>
      </c>
      <c r="B115" s="19" t="s">
        <v>252</v>
      </c>
      <c r="C115" s="19" t="s">
        <v>29</v>
      </c>
      <c r="D115" s="19" t="s">
        <v>19</v>
      </c>
      <c r="E115" s="19" t="s">
        <v>232</v>
      </c>
      <c r="F115" s="19" t="s">
        <v>471</v>
      </c>
      <c r="G115" s="24">
        <v>3097282</v>
      </c>
      <c r="H115" s="24">
        <v>2816749</v>
      </c>
      <c r="I115" s="19">
        <v>93.4</v>
      </c>
      <c r="J115" s="24">
        <f t="shared" si="11"/>
        <v>185905.43399999986</v>
      </c>
      <c r="K115" s="36">
        <f t="shared" si="15"/>
        <v>185905.43399999986</v>
      </c>
      <c r="L115" s="23">
        <v>76.733547934264351</v>
      </c>
      <c r="M115" s="23">
        <v>76.733547934264351</v>
      </c>
      <c r="N115" s="24">
        <f t="shared" si="12"/>
        <v>14265183.531079207</v>
      </c>
      <c r="O115" s="24">
        <f t="shared" si="16"/>
        <v>1151842.2442169904</v>
      </c>
      <c r="P115" s="24">
        <f t="shared" si="17"/>
        <v>1727763.3663254855</v>
      </c>
      <c r="Q115" s="24">
        <f t="shared" si="18"/>
        <v>15992946.897404693</v>
      </c>
      <c r="R115" s="36">
        <f t="shared" si="19"/>
        <v>15992946.897404693</v>
      </c>
      <c r="S115" s="24">
        <v>397630289.50000304</v>
      </c>
      <c r="T115" s="24">
        <f t="shared" si="13"/>
        <v>5964454342.5000458</v>
      </c>
      <c r="U115" s="23">
        <f t="shared" si="14"/>
        <v>2.6813763638772578E-3</v>
      </c>
      <c r="V115" s="23">
        <f t="shared" si="20"/>
        <v>8.9379212129241927E-4</v>
      </c>
      <c r="W115" s="23">
        <f t="shared" si="21"/>
        <v>8.0441290916317739E-3</v>
      </c>
    </row>
    <row r="116" spans="1:23" x14ac:dyDescent="0.25">
      <c r="A116" s="19" t="s">
        <v>253</v>
      </c>
      <c r="B116" s="19" t="s">
        <v>254</v>
      </c>
      <c r="C116" s="19" t="s">
        <v>45</v>
      </c>
      <c r="D116" s="19" t="s">
        <v>19</v>
      </c>
      <c r="E116" s="19" t="s">
        <v>232</v>
      </c>
      <c r="F116" s="19" t="s">
        <v>232</v>
      </c>
      <c r="G116" s="24">
        <v>506953</v>
      </c>
      <c r="H116" s="24">
        <v>636826</v>
      </c>
      <c r="I116" s="19">
        <v>100</v>
      </c>
      <c r="J116" s="24">
        <f t="shared" si="11"/>
        <v>0</v>
      </c>
      <c r="K116" s="36">
        <f t="shared" si="15"/>
        <v>0</v>
      </c>
      <c r="L116" s="23" t="s">
        <v>232</v>
      </c>
      <c r="M116" s="23" t="s">
        <v>232</v>
      </c>
      <c r="N116" s="24" t="e">
        <f t="shared" si="12"/>
        <v>#VALUE!</v>
      </c>
      <c r="O116" s="24" t="e">
        <f t="shared" si="16"/>
        <v>#VALUE!</v>
      </c>
      <c r="P116" s="24" t="e">
        <f t="shared" si="17"/>
        <v>#VALUE!</v>
      </c>
      <c r="Q116" s="24" t="e">
        <f t="shared" si="18"/>
        <v>#VALUE!</v>
      </c>
      <c r="R116" s="36">
        <f t="shared" si="19"/>
        <v>0</v>
      </c>
      <c r="S116" s="24">
        <v>58508352.210030153</v>
      </c>
      <c r="T116" s="24">
        <f t="shared" si="13"/>
        <v>877625283.15045226</v>
      </c>
      <c r="U116" s="23" t="e">
        <f t="shared" si="14"/>
        <v>#VALUE!</v>
      </c>
      <c r="V116" s="23" t="e">
        <f t="shared" si="20"/>
        <v>#VALUE!</v>
      </c>
      <c r="W116" s="23" t="e">
        <f t="shared" si="21"/>
        <v>#VALUE!</v>
      </c>
    </row>
    <row r="117" spans="1:23" x14ac:dyDescent="0.25">
      <c r="A117" s="19" t="s">
        <v>255</v>
      </c>
      <c r="B117" s="19" t="s">
        <v>256</v>
      </c>
      <c r="C117" s="19" t="s">
        <v>29</v>
      </c>
      <c r="D117" s="19" t="s">
        <v>26</v>
      </c>
      <c r="E117" s="19" t="s">
        <v>232</v>
      </c>
      <c r="F117" s="19" t="s">
        <v>232</v>
      </c>
      <c r="G117" s="24">
        <v>534626</v>
      </c>
      <c r="H117" s="24">
        <v>701551</v>
      </c>
      <c r="I117" s="19" t="s">
        <v>232</v>
      </c>
      <c r="J117" s="24" t="e">
        <f t="shared" si="11"/>
        <v>#VALUE!</v>
      </c>
      <c r="K117" s="36">
        <f t="shared" si="15"/>
        <v>0</v>
      </c>
      <c r="L117" s="23" t="s">
        <v>232</v>
      </c>
      <c r="M117" s="23" t="s">
        <v>232</v>
      </c>
      <c r="N117" s="24" t="e">
        <f t="shared" si="12"/>
        <v>#VALUE!</v>
      </c>
      <c r="O117" s="24" t="e">
        <f t="shared" si="16"/>
        <v>#VALUE!</v>
      </c>
      <c r="P117" s="24" t="e">
        <f t="shared" si="17"/>
        <v>#VALUE!</v>
      </c>
      <c r="Q117" s="24" t="e">
        <f t="shared" si="18"/>
        <v>#VALUE!</v>
      </c>
      <c r="R117" s="36">
        <f t="shared" si="19"/>
        <v>0</v>
      </c>
      <c r="S117" s="24">
        <v>278781.88696400158</v>
      </c>
      <c r="T117" s="24">
        <f t="shared" si="13"/>
        <v>4181728.3044600235</v>
      </c>
      <c r="U117" s="23" t="e">
        <f t="shared" si="14"/>
        <v>#VALUE!</v>
      </c>
      <c r="V117" s="23" t="e">
        <f t="shared" si="20"/>
        <v>#VALUE!</v>
      </c>
      <c r="W117" s="23" t="e">
        <f t="shared" si="21"/>
        <v>#VALUE!</v>
      </c>
    </row>
    <row r="118" spans="1:23" x14ac:dyDescent="0.25">
      <c r="A118" s="19" t="s">
        <v>257</v>
      </c>
      <c r="B118" s="19" t="s">
        <v>258</v>
      </c>
      <c r="C118" s="19" t="s">
        <v>18</v>
      </c>
      <c r="D118" s="19" t="s">
        <v>19</v>
      </c>
      <c r="E118" s="19" t="s">
        <v>232</v>
      </c>
      <c r="F118" s="19" t="s">
        <v>471</v>
      </c>
      <c r="G118" s="24">
        <v>2102216</v>
      </c>
      <c r="H118" s="24">
        <v>2068730</v>
      </c>
      <c r="I118" s="19">
        <v>91.1</v>
      </c>
      <c r="J118" s="24">
        <f t="shared" si="11"/>
        <v>184116.97000000018</v>
      </c>
      <c r="K118" s="36">
        <f t="shared" si="15"/>
        <v>184116.97000000018</v>
      </c>
      <c r="L118" s="23">
        <v>76.733547934264351</v>
      </c>
      <c r="M118" s="23">
        <v>76.733547934264351</v>
      </c>
      <c r="N118" s="24">
        <f t="shared" si="12"/>
        <v>14127948.343006525</v>
      </c>
      <c r="O118" s="24">
        <f t="shared" si="16"/>
        <v>1140761.1889560618</v>
      </c>
      <c r="P118" s="24">
        <f t="shared" si="17"/>
        <v>1711141.7834340928</v>
      </c>
      <c r="Q118" s="24">
        <f t="shared" si="18"/>
        <v>15839090.126440618</v>
      </c>
      <c r="R118" s="36">
        <f t="shared" si="19"/>
        <v>15839090.126440618</v>
      </c>
      <c r="S118" s="24">
        <v>424368475.62691891</v>
      </c>
      <c r="T118" s="24">
        <f t="shared" si="13"/>
        <v>6365527134.4037838</v>
      </c>
      <c r="U118" s="23">
        <f t="shared" si="14"/>
        <v>2.4882605622455114E-3</v>
      </c>
      <c r="V118" s="23">
        <f t="shared" si="20"/>
        <v>8.2942018741517061E-4</v>
      </c>
      <c r="W118" s="23">
        <f t="shared" si="21"/>
        <v>7.464781686736535E-3</v>
      </c>
    </row>
    <row r="119" spans="1:23" x14ac:dyDescent="0.25">
      <c r="A119" s="19" t="s">
        <v>259</v>
      </c>
      <c r="B119" s="19" t="s">
        <v>260</v>
      </c>
      <c r="C119" s="19" t="s">
        <v>14</v>
      </c>
      <c r="D119" s="19" t="s">
        <v>32</v>
      </c>
      <c r="E119" s="19" t="s">
        <v>467</v>
      </c>
      <c r="F119" s="19" t="s">
        <v>232</v>
      </c>
      <c r="G119" s="24">
        <v>21079532</v>
      </c>
      <c r="H119" s="24">
        <v>36000163</v>
      </c>
      <c r="I119" s="19">
        <v>13.4</v>
      </c>
      <c r="J119" s="24">
        <f t="shared" si="11"/>
        <v>31176141.158</v>
      </c>
      <c r="K119" s="36">
        <f t="shared" si="15"/>
        <v>31176141.158</v>
      </c>
      <c r="L119" s="23">
        <v>93.882924853149689</v>
      </c>
      <c r="M119" s="23" t="s">
        <v>232</v>
      </c>
      <c r="N119" s="24">
        <f t="shared" si="12"/>
        <v>2926907317.5477009</v>
      </c>
      <c r="O119" s="24">
        <f t="shared" si="16"/>
        <v>236333131.35538909</v>
      </c>
      <c r="P119" s="24">
        <f t="shared" si="17"/>
        <v>354499697.03308362</v>
      </c>
      <c r="Q119" s="24">
        <f t="shared" si="18"/>
        <v>3281407014.5807843</v>
      </c>
      <c r="R119" s="36">
        <f t="shared" si="19"/>
        <v>3281407014.5807843</v>
      </c>
      <c r="S119" s="24">
        <v>692026009.85163426</v>
      </c>
      <c r="T119" s="24">
        <f t="shared" si="13"/>
        <v>10380390147.774513</v>
      </c>
      <c r="U119" s="23">
        <f t="shared" si="14"/>
        <v>0.31611596171886625</v>
      </c>
      <c r="V119" s="23">
        <f t="shared" si="20"/>
        <v>0.10537198723962209</v>
      </c>
      <c r="W119" s="23">
        <f t="shared" si="21"/>
        <v>0.94834788515659874</v>
      </c>
    </row>
    <row r="120" spans="1:23" x14ac:dyDescent="0.25">
      <c r="A120" s="19" t="s">
        <v>261</v>
      </c>
      <c r="B120" s="19" t="s">
        <v>262</v>
      </c>
      <c r="C120" s="19" t="s">
        <v>14</v>
      </c>
      <c r="D120" s="19" t="s">
        <v>32</v>
      </c>
      <c r="E120" s="19" t="s">
        <v>467</v>
      </c>
      <c r="F120" s="19" t="s">
        <v>232</v>
      </c>
      <c r="G120" s="24">
        <v>15013694</v>
      </c>
      <c r="H120" s="24">
        <v>25959551</v>
      </c>
      <c r="I120" s="19">
        <v>10.3</v>
      </c>
      <c r="J120" s="24">
        <f t="shared" si="11"/>
        <v>23285717.247000001</v>
      </c>
      <c r="K120" s="36">
        <f t="shared" si="15"/>
        <v>23285717.247000001</v>
      </c>
      <c r="L120" s="23">
        <v>33.840587421517505</v>
      </c>
      <c r="M120" s="23" t="s">
        <v>232</v>
      </c>
      <c r="N120" s="24">
        <f t="shared" si="12"/>
        <v>788002350.16984141</v>
      </c>
      <c r="O120" s="24">
        <f t="shared" si="16"/>
        <v>63627249.764463842</v>
      </c>
      <c r="P120" s="24">
        <f t="shared" si="17"/>
        <v>95440874.646695763</v>
      </c>
      <c r="Q120" s="24">
        <f t="shared" si="18"/>
        <v>883443224.81653714</v>
      </c>
      <c r="R120" s="36">
        <f t="shared" si="19"/>
        <v>883443224.81653714</v>
      </c>
      <c r="S120" s="24">
        <v>403920728.59788555</v>
      </c>
      <c r="T120" s="24">
        <f t="shared" si="13"/>
        <v>6058810928.9682837</v>
      </c>
      <c r="U120" s="23">
        <f t="shared" si="14"/>
        <v>0.1458113209297609</v>
      </c>
      <c r="V120" s="23">
        <f t="shared" si="20"/>
        <v>4.8603773643253634E-2</v>
      </c>
      <c r="W120" s="23">
        <f t="shared" si="21"/>
        <v>0.4374339627892827</v>
      </c>
    </row>
    <row r="121" spans="1:23" x14ac:dyDescent="0.25">
      <c r="A121" s="19" t="s">
        <v>263</v>
      </c>
      <c r="B121" s="19" t="s">
        <v>264</v>
      </c>
      <c r="C121" s="19" t="s">
        <v>18</v>
      </c>
      <c r="D121" s="19" t="s">
        <v>26</v>
      </c>
      <c r="E121" s="19" t="s">
        <v>471</v>
      </c>
      <c r="F121" s="19" t="s">
        <v>232</v>
      </c>
      <c r="G121" s="24">
        <v>28275835</v>
      </c>
      <c r="H121" s="24">
        <v>36845517</v>
      </c>
      <c r="I121" s="19">
        <v>95.7</v>
      </c>
      <c r="J121" s="24">
        <f t="shared" si="11"/>
        <v>1584357.2309999974</v>
      </c>
      <c r="K121" s="36">
        <f t="shared" si="15"/>
        <v>1584357.2309999974</v>
      </c>
      <c r="L121" s="23">
        <v>203.22108345534406</v>
      </c>
      <c r="M121" s="23" t="s">
        <v>232</v>
      </c>
      <c r="N121" s="24">
        <f t="shared" si="12"/>
        <v>321974793.06412828</v>
      </c>
      <c r="O121" s="24">
        <f t="shared" si="16"/>
        <v>25997854.665963039</v>
      </c>
      <c r="P121" s="24">
        <f t="shared" si="17"/>
        <v>38996781.998944558</v>
      </c>
      <c r="Q121" s="24">
        <f t="shared" si="18"/>
        <v>360971575.06307286</v>
      </c>
      <c r="R121" s="36">
        <f t="shared" si="19"/>
        <v>360971575.06307286</v>
      </c>
      <c r="S121" s="24">
        <v>26660491900.712803</v>
      </c>
      <c r="T121" s="24">
        <f t="shared" si="13"/>
        <v>399907378510.69202</v>
      </c>
      <c r="U121" s="23">
        <f t="shared" si="14"/>
        <v>9.0263794683503656E-4</v>
      </c>
      <c r="V121" s="23">
        <f t="shared" si="20"/>
        <v>3.0087931561167882E-4</v>
      </c>
      <c r="W121" s="23">
        <f t="shared" si="21"/>
        <v>2.7079138405051097E-3</v>
      </c>
    </row>
    <row r="122" spans="1:23" x14ac:dyDescent="0.25">
      <c r="A122" s="19" t="s">
        <v>265</v>
      </c>
      <c r="B122" s="19" t="s">
        <v>266</v>
      </c>
      <c r="C122" s="19" t="s">
        <v>18</v>
      </c>
      <c r="D122" s="19" t="s">
        <v>15</v>
      </c>
      <c r="E122" s="19" t="s">
        <v>465</v>
      </c>
      <c r="F122" s="19" t="s">
        <v>232</v>
      </c>
      <c r="G122" s="24">
        <v>325694</v>
      </c>
      <c r="H122" s="24">
        <v>435873</v>
      </c>
      <c r="I122" s="19">
        <v>97.3</v>
      </c>
      <c r="J122" s="24">
        <f t="shared" si="11"/>
        <v>11768.571000000011</v>
      </c>
      <c r="K122" s="36">
        <f t="shared" si="15"/>
        <v>11768.571000000011</v>
      </c>
      <c r="L122" s="23">
        <v>200</v>
      </c>
      <c r="M122" s="23" t="s">
        <v>232</v>
      </c>
      <c r="N122" s="24">
        <f t="shared" si="12"/>
        <v>2353714.200000002</v>
      </c>
      <c r="O122" s="24">
        <f t="shared" si="16"/>
        <v>190050.65307900016</v>
      </c>
      <c r="P122" s="24">
        <f t="shared" si="17"/>
        <v>285075.97961850022</v>
      </c>
      <c r="Q122" s="24">
        <f t="shared" si="18"/>
        <v>2638790.179618502</v>
      </c>
      <c r="R122" s="36">
        <f t="shared" si="19"/>
        <v>2638790.179618502</v>
      </c>
      <c r="S122" s="24">
        <v>1158905.3361817906</v>
      </c>
      <c r="T122" s="24">
        <f t="shared" si="13"/>
        <v>17383580.042726859</v>
      </c>
      <c r="U122" s="23">
        <f t="shared" si="14"/>
        <v>0.15179785597285808</v>
      </c>
      <c r="V122" s="23">
        <f t="shared" si="20"/>
        <v>5.0599285324286029E-2</v>
      </c>
      <c r="W122" s="23">
        <f t="shared" si="21"/>
        <v>0.45539356791857427</v>
      </c>
    </row>
    <row r="123" spans="1:23" x14ac:dyDescent="0.25">
      <c r="A123" s="19" t="s">
        <v>267</v>
      </c>
      <c r="B123" s="19" t="s">
        <v>268</v>
      </c>
      <c r="C123" s="19" t="s">
        <v>14</v>
      </c>
      <c r="D123" s="19" t="s">
        <v>32</v>
      </c>
      <c r="E123" s="19" t="s">
        <v>467</v>
      </c>
      <c r="F123" s="19" t="s">
        <v>232</v>
      </c>
      <c r="G123" s="24">
        <v>13985961</v>
      </c>
      <c r="H123" s="24">
        <v>26034111</v>
      </c>
      <c r="I123" s="19">
        <v>21.3</v>
      </c>
      <c r="J123" s="24">
        <f t="shared" si="11"/>
        <v>20488845.357000001</v>
      </c>
      <c r="K123" s="36">
        <f t="shared" si="15"/>
        <v>20488845.357000001</v>
      </c>
      <c r="L123" s="23">
        <v>72.725736971027956</v>
      </c>
      <c r="M123" s="23" t="s">
        <v>232</v>
      </c>
      <c r="N123" s="24">
        <f t="shared" si="12"/>
        <v>1490066378.2732494</v>
      </c>
      <c r="O123" s="24">
        <f t="shared" si="16"/>
        <v>120315409.71367352</v>
      </c>
      <c r="P123" s="24">
        <f t="shared" si="17"/>
        <v>180473114.57051027</v>
      </c>
      <c r="Q123" s="24">
        <f t="shared" si="18"/>
        <v>1670539492.8437595</v>
      </c>
      <c r="R123" s="36">
        <f t="shared" si="19"/>
        <v>1670539492.8437595</v>
      </c>
      <c r="S123" s="24">
        <v>1347245165.1593575</v>
      </c>
      <c r="T123" s="24">
        <f t="shared" si="13"/>
        <v>20208677477.390362</v>
      </c>
      <c r="U123" s="23">
        <f t="shared" si="14"/>
        <v>8.2664464050790712E-2</v>
      </c>
      <c r="V123" s="23">
        <f t="shared" si="20"/>
        <v>2.7554821350263572E-2</v>
      </c>
      <c r="W123" s="23">
        <f t="shared" si="21"/>
        <v>0.24799339215237215</v>
      </c>
    </row>
    <row r="124" spans="1:23" x14ac:dyDescent="0.25">
      <c r="A124" s="19" t="s">
        <v>269</v>
      </c>
      <c r="B124" s="19" t="s">
        <v>270</v>
      </c>
      <c r="C124" s="19" t="s">
        <v>29</v>
      </c>
      <c r="D124" s="19" t="s">
        <v>22</v>
      </c>
      <c r="E124" s="19" t="s">
        <v>232</v>
      </c>
      <c r="F124" s="19" t="s">
        <v>232</v>
      </c>
      <c r="G124" s="24">
        <v>414508</v>
      </c>
      <c r="H124" s="24">
        <v>436792</v>
      </c>
      <c r="I124" s="19">
        <v>100</v>
      </c>
      <c r="J124" s="24">
        <f t="shared" si="11"/>
        <v>0</v>
      </c>
      <c r="K124" s="36">
        <f t="shared" si="15"/>
        <v>0</v>
      </c>
      <c r="L124" s="23" t="s">
        <v>232</v>
      </c>
      <c r="M124" s="23" t="s">
        <v>232</v>
      </c>
      <c r="N124" s="24" t="e">
        <f t="shared" si="12"/>
        <v>#VALUE!</v>
      </c>
      <c r="O124" s="24" t="e">
        <f t="shared" si="16"/>
        <v>#VALUE!</v>
      </c>
      <c r="P124" s="24" t="e">
        <f t="shared" si="17"/>
        <v>#VALUE!</v>
      </c>
      <c r="Q124" s="24" t="e">
        <f t="shared" si="18"/>
        <v>#VALUE!</v>
      </c>
      <c r="R124" s="36">
        <f t="shared" si="19"/>
        <v>0</v>
      </c>
      <c r="S124" s="24">
        <v>0</v>
      </c>
      <c r="T124" s="24">
        <f t="shared" si="13"/>
        <v>0</v>
      </c>
      <c r="U124" s="23" t="e">
        <f t="shared" si="14"/>
        <v>#VALUE!</v>
      </c>
      <c r="V124" s="23" t="e">
        <f t="shared" si="20"/>
        <v>#VALUE!</v>
      </c>
      <c r="W124" s="23" t="e">
        <f t="shared" si="21"/>
        <v>#VALUE!</v>
      </c>
    </row>
    <row r="125" spans="1:23" s="31" customFormat="1" x14ac:dyDescent="0.25">
      <c r="A125" s="31" t="s">
        <v>271</v>
      </c>
      <c r="B125" s="31" t="s">
        <v>272</v>
      </c>
      <c r="C125" s="31" t="s">
        <v>18</v>
      </c>
      <c r="D125" s="31" t="s">
        <v>26</v>
      </c>
      <c r="E125" s="19" t="s">
        <v>232</v>
      </c>
      <c r="F125" s="31" t="s">
        <v>473</v>
      </c>
      <c r="G125" s="30">
        <v>52428</v>
      </c>
      <c r="H125" s="30">
        <v>58101</v>
      </c>
      <c r="I125" s="31">
        <v>75.2</v>
      </c>
      <c r="J125" s="24">
        <f t="shared" si="11"/>
        <v>14409.048000000001</v>
      </c>
      <c r="K125" s="36">
        <f t="shared" si="15"/>
        <v>14409.048000000001</v>
      </c>
      <c r="L125" s="29">
        <v>123.43837404437815</v>
      </c>
      <c r="M125" s="29">
        <v>123.43837404437815</v>
      </c>
      <c r="N125" s="24">
        <f t="shared" si="12"/>
        <v>1778629.4566473989</v>
      </c>
      <c r="O125" s="24">
        <f t="shared" si="16"/>
        <v>143615.43547699423</v>
      </c>
      <c r="P125" s="24">
        <f t="shared" si="17"/>
        <v>215423.15321549133</v>
      </c>
      <c r="Q125" s="24">
        <f t="shared" si="18"/>
        <v>1994052.6098628901</v>
      </c>
      <c r="R125" s="36">
        <f t="shared" si="19"/>
        <v>1994052.6098628901</v>
      </c>
      <c r="S125" s="30">
        <v>0</v>
      </c>
      <c r="T125" s="24">
        <f t="shared" si="13"/>
        <v>0</v>
      </c>
      <c r="U125" s="23" t="e">
        <f t="shared" si="14"/>
        <v>#DIV/0!</v>
      </c>
      <c r="V125" s="23" t="e">
        <f t="shared" si="20"/>
        <v>#DIV/0!</v>
      </c>
      <c r="W125" s="23" t="e">
        <f t="shared" si="21"/>
        <v>#DIV/0!</v>
      </c>
    </row>
    <row r="126" spans="1:23" x14ac:dyDescent="0.25">
      <c r="A126" s="19" t="s">
        <v>273</v>
      </c>
      <c r="B126" s="19" t="s">
        <v>274</v>
      </c>
      <c r="C126" s="19" t="s">
        <v>40</v>
      </c>
      <c r="D126" s="19" t="s">
        <v>32</v>
      </c>
      <c r="E126" s="19" t="s">
        <v>467</v>
      </c>
      <c r="F126" s="19" t="s">
        <v>232</v>
      </c>
      <c r="G126" s="24">
        <v>3609420</v>
      </c>
      <c r="H126" s="24">
        <v>5640323</v>
      </c>
      <c r="I126" s="19">
        <v>26.5</v>
      </c>
      <c r="J126" s="24">
        <f t="shared" si="11"/>
        <v>4145637.4049999998</v>
      </c>
      <c r="K126" s="36">
        <f t="shared" si="15"/>
        <v>4145637.4049999998</v>
      </c>
      <c r="L126" s="23">
        <v>104.07876230661041</v>
      </c>
      <c r="M126" s="23" t="s">
        <v>232</v>
      </c>
      <c r="N126" s="24">
        <f t="shared" si="12"/>
        <v>431472810.0843882</v>
      </c>
      <c r="O126" s="24">
        <f t="shared" si="16"/>
        <v>34839272.050263926</v>
      </c>
      <c r="P126" s="24">
        <f t="shared" si="17"/>
        <v>52258908.07539589</v>
      </c>
      <c r="Q126" s="24">
        <f t="shared" si="18"/>
        <v>483731718.15978408</v>
      </c>
      <c r="R126" s="36">
        <f t="shared" si="19"/>
        <v>483731718.15978408</v>
      </c>
      <c r="S126" s="24">
        <v>1996969500.3540106</v>
      </c>
      <c r="T126" s="24">
        <f t="shared" si="13"/>
        <v>29954542505.310158</v>
      </c>
      <c r="U126" s="23">
        <f t="shared" si="14"/>
        <v>1.6148860162829431E-2</v>
      </c>
      <c r="V126" s="23">
        <f t="shared" si="20"/>
        <v>5.3829533876098099E-3</v>
      </c>
      <c r="W126" s="23">
        <f t="shared" si="21"/>
        <v>4.8446580488488288E-2</v>
      </c>
    </row>
    <row r="127" spans="1:23" x14ac:dyDescent="0.25">
      <c r="A127" s="19" t="s">
        <v>275</v>
      </c>
      <c r="B127" s="19" t="s">
        <v>276</v>
      </c>
      <c r="C127" s="19" t="s">
        <v>18</v>
      </c>
      <c r="D127" s="19" t="s">
        <v>32</v>
      </c>
      <c r="E127" s="19" t="s">
        <v>467</v>
      </c>
      <c r="F127" s="19" t="s">
        <v>232</v>
      </c>
      <c r="G127" s="24">
        <v>1280924</v>
      </c>
      <c r="H127" s="24">
        <v>1287944</v>
      </c>
      <c r="I127" s="19">
        <v>90.5</v>
      </c>
      <c r="J127" s="24">
        <f t="shared" si="11"/>
        <v>122354.67999999996</v>
      </c>
      <c r="K127" s="36">
        <f t="shared" si="15"/>
        <v>122354.67999999996</v>
      </c>
      <c r="L127" s="23">
        <v>122.22222222222223</v>
      </c>
      <c r="M127" s="23" t="s">
        <v>232</v>
      </c>
      <c r="N127" s="24">
        <f t="shared" si="12"/>
        <v>14954460.888888884</v>
      </c>
      <c r="O127" s="24">
        <f t="shared" si="16"/>
        <v>1207497.944473333</v>
      </c>
      <c r="P127" s="24">
        <f t="shared" si="17"/>
        <v>1811246.9167099993</v>
      </c>
      <c r="Q127" s="24">
        <f t="shared" si="18"/>
        <v>16765707.805598883</v>
      </c>
      <c r="R127" s="36">
        <f t="shared" si="19"/>
        <v>16765707.805598883</v>
      </c>
      <c r="S127" s="24">
        <v>717808.34286977118</v>
      </c>
      <c r="T127" s="24">
        <f t="shared" si="13"/>
        <v>10767125.143046567</v>
      </c>
      <c r="U127" s="23">
        <f t="shared" si="14"/>
        <v>1.5571201767285312</v>
      </c>
      <c r="V127" s="23">
        <f t="shared" si="20"/>
        <v>0.51904005890951044</v>
      </c>
      <c r="W127" s="23">
        <f t="shared" si="21"/>
        <v>4.6713605301855932</v>
      </c>
    </row>
    <row r="128" spans="1:23" x14ac:dyDescent="0.25">
      <c r="A128" s="19" t="s">
        <v>277</v>
      </c>
      <c r="B128" s="19" t="s">
        <v>278</v>
      </c>
      <c r="C128" s="19" t="s">
        <v>18</v>
      </c>
      <c r="D128" s="19" t="s">
        <v>35</v>
      </c>
      <c r="E128" s="19" t="s">
        <v>468</v>
      </c>
      <c r="F128" s="19" t="s">
        <v>232</v>
      </c>
      <c r="G128" s="24">
        <v>117886404</v>
      </c>
      <c r="H128" s="24">
        <v>143662574</v>
      </c>
      <c r="I128" s="19">
        <v>83.7</v>
      </c>
      <c r="J128" s="24">
        <f t="shared" si="11"/>
        <v>23416999.561999988</v>
      </c>
      <c r="K128" s="36">
        <f t="shared" si="15"/>
        <v>23416999.561999988</v>
      </c>
      <c r="L128" s="23">
        <v>332.2151282328752</v>
      </c>
      <c r="M128" s="23" t="s">
        <v>232</v>
      </c>
      <c r="N128" s="24">
        <f t="shared" si="12"/>
        <v>7779481512.3190088</v>
      </c>
      <c r="O128" s="24">
        <f t="shared" si="16"/>
        <v>628154234.71219838</v>
      </c>
      <c r="P128" s="24">
        <f t="shared" si="17"/>
        <v>942231352.06829762</v>
      </c>
      <c r="Q128" s="24">
        <f t="shared" si="18"/>
        <v>8721712864.3873062</v>
      </c>
      <c r="R128" s="36">
        <f t="shared" si="19"/>
        <v>8721712864.3873062</v>
      </c>
      <c r="S128" s="24">
        <v>79509538709.839935</v>
      </c>
      <c r="T128" s="24">
        <f t="shared" si="13"/>
        <v>1192643080647.5991</v>
      </c>
      <c r="U128" s="23">
        <f t="shared" si="14"/>
        <v>7.312927904341222E-3</v>
      </c>
      <c r="V128" s="23">
        <f t="shared" si="20"/>
        <v>2.4376426347804073E-3</v>
      </c>
      <c r="W128" s="23">
        <f t="shared" si="21"/>
        <v>2.1938783713023668E-2</v>
      </c>
    </row>
    <row r="129" spans="1:23" x14ac:dyDescent="0.25">
      <c r="A129" s="19" t="s">
        <v>279</v>
      </c>
      <c r="B129" s="19" t="s">
        <v>280</v>
      </c>
      <c r="C129" s="19" t="s">
        <v>40</v>
      </c>
      <c r="D129" s="19" t="s">
        <v>26</v>
      </c>
      <c r="E129" s="19" t="s">
        <v>232</v>
      </c>
      <c r="F129" s="19" t="s">
        <v>473</v>
      </c>
      <c r="G129" s="24">
        <v>103619</v>
      </c>
      <c r="H129" s="24">
        <v>120664</v>
      </c>
      <c r="I129" s="19">
        <v>53.2</v>
      </c>
      <c r="J129" s="24">
        <f t="shared" si="11"/>
        <v>56470.751999999993</v>
      </c>
      <c r="K129" s="36">
        <f t="shared" si="15"/>
        <v>56470.751999999993</v>
      </c>
      <c r="L129" s="23">
        <v>123.43837404437815</v>
      </c>
      <c r="M129" s="23">
        <v>123.43837404437815</v>
      </c>
      <c r="N129" s="24">
        <f t="shared" si="12"/>
        <v>6970657.8079433143</v>
      </c>
      <c r="O129" s="24">
        <f t="shared" si="16"/>
        <v>562845.76470238285</v>
      </c>
      <c r="P129" s="24">
        <f t="shared" si="17"/>
        <v>844268.64705357433</v>
      </c>
      <c r="Q129" s="24">
        <f t="shared" si="18"/>
        <v>7814926.4549968885</v>
      </c>
      <c r="R129" s="36">
        <f t="shared" si="19"/>
        <v>7814926.4549968885</v>
      </c>
      <c r="S129" s="24">
        <v>122710.4341582333</v>
      </c>
      <c r="T129" s="24">
        <f t="shared" si="13"/>
        <v>1840656.5123734996</v>
      </c>
      <c r="U129" s="23">
        <f t="shared" si="14"/>
        <v>4.2457277620579275</v>
      </c>
      <c r="V129" s="23">
        <f t="shared" si="20"/>
        <v>1.4152425873526426</v>
      </c>
      <c r="W129" s="23">
        <f t="shared" si="21"/>
        <v>12.737183286173783</v>
      </c>
    </row>
    <row r="130" spans="1:23" x14ac:dyDescent="0.25">
      <c r="A130" s="19" t="s">
        <v>281</v>
      </c>
      <c r="B130" s="19" t="s">
        <v>282</v>
      </c>
      <c r="C130" s="19" t="s">
        <v>40</v>
      </c>
      <c r="D130" s="19" t="s">
        <v>19</v>
      </c>
      <c r="E130" s="19" t="s">
        <v>232</v>
      </c>
      <c r="F130" s="19" t="s">
        <v>471</v>
      </c>
      <c r="G130" s="24">
        <v>3562045</v>
      </c>
      <c r="H130" s="24">
        <v>3066205</v>
      </c>
      <c r="I130" s="19">
        <v>85.4</v>
      </c>
      <c r="J130" s="24">
        <f t="shared" si="11"/>
        <v>447665.9299999997</v>
      </c>
      <c r="K130" s="36">
        <f t="shared" si="15"/>
        <v>447665.9299999997</v>
      </c>
      <c r="L130" s="23">
        <v>76.733547934264351</v>
      </c>
      <c r="M130" s="23">
        <v>76.733547934264351</v>
      </c>
      <c r="N130" s="24">
        <f t="shared" si="12"/>
        <v>34350995.098192006</v>
      </c>
      <c r="O130" s="24">
        <f t="shared" si="16"/>
        <v>2773671.0992035135</v>
      </c>
      <c r="P130" s="24">
        <f t="shared" si="17"/>
        <v>4160506.6488052704</v>
      </c>
      <c r="Q130" s="24">
        <f t="shared" si="18"/>
        <v>38511501.746997274</v>
      </c>
      <c r="R130" s="36">
        <f t="shared" si="19"/>
        <v>38511501.746997274</v>
      </c>
      <c r="S130" s="24">
        <v>26844920.985309076</v>
      </c>
      <c r="T130" s="24">
        <f t="shared" si="13"/>
        <v>402673814.77963614</v>
      </c>
      <c r="U130" s="23">
        <f t="shared" si="14"/>
        <v>9.5639448937281282E-2</v>
      </c>
      <c r="V130" s="23">
        <f t="shared" si="20"/>
        <v>3.1879816312427096E-2</v>
      </c>
      <c r="W130" s="23">
        <f t="shared" si="21"/>
        <v>0.28691834681184386</v>
      </c>
    </row>
    <row r="131" spans="1:23" x14ac:dyDescent="0.25">
      <c r="A131" s="19" t="s">
        <v>283</v>
      </c>
      <c r="B131" s="19" t="s">
        <v>284</v>
      </c>
      <c r="C131" s="19" t="s">
        <v>29</v>
      </c>
      <c r="D131" s="19" t="s">
        <v>19</v>
      </c>
      <c r="E131" s="19" t="s">
        <v>232</v>
      </c>
      <c r="F131" s="19" t="s">
        <v>232</v>
      </c>
      <c r="G131" s="24">
        <v>36845</v>
      </c>
      <c r="H131" s="24">
        <v>43857</v>
      </c>
      <c r="I131" s="19">
        <v>100</v>
      </c>
      <c r="J131" s="24">
        <f t="shared" ref="J131:J194" si="22">(1-(I131/100))*H131</f>
        <v>0</v>
      </c>
      <c r="K131" s="36">
        <f t="shared" si="15"/>
        <v>0</v>
      </c>
      <c r="L131" s="23" t="s">
        <v>232</v>
      </c>
      <c r="M131" s="23" t="s">
        <v>232</v>
      </c>
      <c r="N131" s="24" t="e">
        <f t="shared" ref="N131:N194" si="23">L131*J131</f>
        <v>#VALUE!</v>
      </c>
      <c r="O131" s="24" t="e">
        <f t="shared" si="16"/>
        <v>#VALUE!</v>
      </c>
      <c r="P131" s="24" t="e">
        <f t="shared" si="17"/>
        <v>#VALUE!</v>
      </c>
      <c r="Q131" s="24" t="e">
        <f t="shared" si="18"/>
        <v>#VALUE!</v>
      </c>
      <c r="R131" s="36">
        <f t="shared" si="19"/>
        <v>0</v>
      </c>
      <c r="S131" s="24">
        <v>0</v>
      </c>
      <c r="T131" s="24">
        <f t="shared" ref="T131:T194" si="24">S131*15</f>
        <v>0</v>
      </c>
      <c r="U131" s="23" t="e">
        <f t="shared" ref="U131:U194" si="25">Q131/T131</f>
        <v>#VALUE!</v>
      </c>
      <c r="V131" s="23" t="e">
        <f t="shared" si="20"/>
        <v>#VALUE!</v>
      </c>
      <c r="W131" s="23" t="e">
        <f t="shared" si="21"/>
        <v>#VALUE!</v>
      </c>
    </row>
    <row r="132" spans="1:23" x14ac:dyDescent="0.25">
      <c r="A132" s="19" t="s">
        <v>285</v>
      </c>
      <c r="B132" s="19" t="s">
        <v>286</v>
      </c>
      <c r="C132" s="19" t="s">
        <v>40</v>
      </c>
      <c r="D132" s="19" t="s">
        <v>26</v>
      </c>
      <c r="E132" s="19" t="s">
        <v>472</v>
      </c>
      <c r="F132" s="19" t="s">
        <v>232</v>
      </c>
      <c r="G132" s="24">
        <v>2712738</v>
      </c>
      <c r="H132" s="24">
        <v>3387631</v>
      </c>
      <c r="I132" s="19">
        <v>55.1</v>
      </c>
      <c r="J132" s="24">
        <f t="shared" si="22"/>
        <v>1521046.3189999999</v>
      </c>
      <c r="K132" s="36">
        <f t="shared" ref="K132:K195" si="26">IFERROR(J132,0)</f>
        <v>1521046.3189999999</v>
      </c>
      <c r="L132" s="23">
        <v>66.099476439790578</v>
      </c>
      <c r="M132" s="23" t="s">
        <v>232</v>
      </c>
      <c r="N132" s="24">
        <f t="shared" si="23"/>
        <v>100540365.32657067</v>
      </c>
      <c r="O132" s="24">
        <f t="shared" ref="O132:O195" si="27">N132*0.080745</f>
        <v>8118131.7982939491</v>
      </c>
      <c r="P132" s="24">
        <f t="shared" ref="P132:P195" si="28">(O132/5)*7.5</f>
        <v>12177197.697440924</v>
      </c>
      <c r="Q132" s="24">
        <f t="shared" ref="Q132:Q195" si="29">N132+P132</f>
        <v>112717563.0240116</v>
      </c>
      <c r="R132" s="36">
        <f t="shared" ref="R132:R195" si="30">IFERROR(Q132,0)</f>
        <v>112717563.0240116</v>
      </c>
      <c r="S132" s="24">
        <v>2578929370.5691776</v>
      </c>
      <c r="T132" s="24">
        <f t="shared" si="24"/>
        <v>38683940558.537666</v>
      </c>
      <c r="U132" s="23">
        <f t="shared" si="25"/>
        <v>2.9138076782390899E-3</v>
      </c>
      <c r="V132" s="23">
        <f t="shared" ref="V132:V195" si="31">(Q132/2)/(T132*1.5)</f>
        <v>9.712692260796965E-4</v>
      </c>
      <c r="W132" s="23">
        <f t="shared" ref="W132:W195" si="32">(Q132*1.5)/(T132/2)</f>
        <v>8.7414230347172689E-3</v>
      </c>
    </row>
    <row r="133" spans="1:23" x14ac:dyDescent="0.25">
      <c r="A133" s="19" t="s">
        <v>287</v>
      </c>
      <c r="B133" s="19" t="s">
        <v>288</v>
      </c>
      <c r="C133" s="19" t="s">
        <v>18</v>
      </c>
      <c r="D133" s="19" t="s">
        <v>19</v>
      </c>
      <c r="E133" s="19" t="s">
        <v>232</v>
      </c>
      <c r="F133" s="19" t="s">
        <v>471</v>
      </c>
      <c r="G133" s="24">
        <v>620078</v>
      </c>
      <c r="H133" s="24">
        <v>607757</v>
      </c>
      <c r="I133" s="19">
        <v>90</v>
      </c>
      <c r="J133" s="24">
        <f t="shared" si="22"/>
        <v>60775.69999999999</v>
      </c>
      <c r="K133" s="36">
        <f t="shared" si="26"/>
        <v>60775.69999999999</v>
      </c>
      <c r="L133" s="23">
        <v>76.733547934264351</v>
      </c>
      <c r="M133" s="23">
        <v>76.733547934264351</v>
      </c>
      <c r="N133" s="24">
        <f t="shared" si="23"/>
        <v>4663535.0891884696</v>
      </c>
      <c r="O133" s="24">
        <f t="shared" si="27"/>
        <v>376557.14077652298</v>
      </c>
      <c r="P133" s="24">
        <f t="shared" si="28"/>
        <v>564835.7111647845</v>
      </c>
      <c r="Q133" s="24">
        <f t="shared" si="29"/>
        <v>5228370.8003532542</v>
      </c>
      <c r="R133" s="36">
        <f t="shared" si="30"/>
        <v>5228370.8003532542</v>
      </c>
      <c r="S133" s="24">
        <v>57851763.840370655</v>
      </c>
      <c r="T133" s="24">
        <f t="shared" si="24"/>
        <v>867776457.60555983</v>
      </c>
      <c r="U133" s="23">
        <f t="shared" si="25"/>
        <v>6.025020331595311E-3</v>
      </c>
      <c r="V133" s="23">
        <f t="shared" si="31"/>
        <v>2.0083401105317703E-3</v>
      </c>
      <c r="W133" s="23">
        <f t="shared" si="32"/>
        <v>1.8075060994785931E-2</v>
      </c>
    </row>
    <row r="134" spans="1:23" x14ac:dyDescent="0.25">
      <c r="A134" s="19" t="s">
        <v>289</v>
      </c>
      <c r="B134" s="19" t="s">
        <v>290</v>
      </c>
      <c r="C134" s="19" t="s">
        <v>40</v>
      </c>
      <c r="D134" s="19" t="s">
        <v>22</v>
      </c>
      <c r="E134" s="19" t="s">
        <v>466</v>
      </c>
      <c r="F134" s="19" t="s">
        <v>232</v>
      </c>
      <c r="G134" s="24">
        <v>31642360</v>
      </c>
      <c r="H134" s="24">
        <v>39190274</v>
      </c>
      <c r="I134" s="19">
        <v>73.599999999999994</v>
      </c>
      <c r="J134" s="24">
        <f t="shared" si="22"/>
        <v>10346232.336000001</v>
      </c>
      <c r="K134" s="36">
        <f t="shared" si="26"/>
        <v>10346232.336000001</v>
      </c>
      <c r="L134" s="23">
        <v>192.52288911495421</v>
      </c>
      <c r="M134" s="23" t="s">
        <v>232</v>
      </c>
      <c r="N134" s="24">
        <f t="shared" si="23"/>
        <v>1991886540.7812819</v>
      </c>
      <c r="O134" s="24">
        <f t="shared" si="27"/>
        <v>160834878.73538461</v>
      </c>
      <c r="P134" s="24">
        <f t="shared" si="28"/>
        <v>241252318.10307691</v>
      </c>
      <c r="Q134" s="24">
        <f t="shared" si="29"/>
        <v>2233138858.8843589</v>
      </c>
      <c r="R134" s="36">
        <f t="shared" si="30"/>
        <v>2233138858.8843589</v>
      </c>
      <c r="S134" s="24">
        <v>2752538514.3211255</v>
      </c>
      <c r="T134" s="24">
        <f t="shared" si="24"/>
        <v>41288077714.816879</v>
      </c>
      <c r="U134" s="23">
        <f t="shared" si="25"/>
        <v>5.4086772319820592E-2</v>
      </c>
      <c r="V134" s="23">
        <f t="shared" si="31"/>
        <v>1.8028924106606864E-2</v>
      </c>
      <c r="W134" s="23">
        <f t="shared" si="32"/>
        <v>0.16226031695946175</v>
      </c>
    </row>
    <row r="135" spans="1:23" x14ac:dyDescent="0.25">
      <c r="A135" s="19" t="s">
        <v>291</v>
      </c>
      <c r="B135" s="19" t="s">
        <v>292</v>
      </c>
      <c r="C135" s="19" t="s">
        <v>14</v>
      </c>
      <c r="D135" s="19" t="s">
        <v>32</v>
      </c>
      <c r="E135" s="19" t="s">
        <v>467</v>
      </c>
      <c r="F135" s="19" t="s">
        <v>232</v>
      </c>
      <c r="G135" s="24">
        <v>23967265</v>
      </c>
      <c r="H135" s="24">
        <v>38875906</v>
      </c>
      <c r="I135" s="19">
        <v>19.8</v>
      </c>
      <c r="J135" s="24">
        <f t="shared" si="22"/>
        <v>31178476.612000003</v>
      </c>
      <c r="K135" s="36">
        <f t="shared" si="26"/>
        <v>31178476.612000003</v>
      </c>
      <c r="L135" s="23">
        <v>91.342407993033589</v>
      </c>
      <c r="M135" s="23" t="s">
        <v>232</v>
      </c>
      <c r="N135" s="24">
        <f t="shared" si="23"/>
        <v>2847917131.29456</v>
      </c>
      <c r="O135" s="24">
        <f t="shared" si="27"/>
        <v>229955068.76637924</v>
      </c>
      <c r="P135" s="24">
        <f t="shared" si="28"/>
        <v>344932603.14956886</v>
      </c>
      <c r="Q135" s="24">
        <f t="shared" si="29"/>
        <v>3192849734.444129</v>
      </c>
      <c r="R135" s="36">
        <f t="shared" si="30"/>
        <v>3192849734.444129</v>
      </c>
      <c r="S135" s="24">
        <v>1468383419.1173403</v>
      </c>
      <c r="T135" s="24">
        <f t="shared" si="24"/>
        <v>22025751286.760105</v>
      </c>
      <c r="U135" s="23">
        <f t="shared" si="25"/>
        <v>0.14495985598290953</v>
      </c>
      <c r="V135" s="23">
        <f t="shared" si="31"/>
        <v>4.8319951994303174E-2</v>
      </c>
      <c r="W135" s="23">
        <f t="shared" si="32"/>
        <v>0.43487956794872851</v>
      </c>
    </row>
    <row r="136" spans="1:23" x14ac:dyDescent="0.25">
      <c r="A136" s="19" t="s">
        <v>293</v>
      </c>
      <c r="B136" s="19" t="s">
        <v>294</v>
      </c>
      <c r="C136" s="19" t="s">
        <v>14</v>
      </c>
      <c r="D136" s="19" t="s">
        <v>26</v>
      </c>
      <c r="E136" s="19" t="s">
        <v>471</v>
      </c>
      <c r="F136" s="19" t="s">
        <v>232</v>
      </c>
      <c r="G136" s="24">
        <v>51931231</v>
      </c>
      <c r="H136" s="24">
        <v>58697747</v>
      </c>
      <c r="I136" s="19">
        <v>74.7</v>
      </c>
      <c r="J136" s="24">
        <f t="shared" si="22"/>
        <v>14850529.991</v>
      </c>
      <c r="K136" s="36">
        <f t="shared" si="26"/>
        <v>14850529.991</v>
      </c>
      <c r="L136" s="23">
        <v>54.857225895516969</v>
      </c>
      <c r="M136" s="23" t="s">
        <v>232</v>
      </c>
      <c r="N136" s="24">
        <f t="shared" si="23"/>
        <v>814658878.38443661</v>
      </c>
      <c r="O136" s="24">
        <f t="shared" si="27"/>
        <v>65779631.135151334</v>
      </c>
      <c r="P136" s="24">
        <f t="shared" si="28"/>
        <v>98669446.70272699</v>
      </c>
      <c r="Q136" s="24">
        <f t="shared" si="29"/>
        <v>913328325.08716357</v>
      </c>
      <c r="R136" s="36">
        <f t="shared" si="30"/>
        <v>913328325.08716357</v>
      </c>
      <c r="S136" s="24" t="s">
        <v>232</v>
      </c>
      <c r="T136" s="24" t="e">
        <f t="shared" si="24"/>
        <v>#VALUE!</v>
      </c>
      <c r="U136" s="23" t="e">
        <f t="shared" si="25"/>
        <v>#VALUE!</v>
      </c>
      <c r="V136" s="23" t="e">
        <f t="shared" si="31"/>
        <v>#VALUE!</v>
      </c>
      <c r="W136" s="23" t="e">
        <f t="shared" si="32"/>
        <v>#VALUE!</v>
      </c>
    </row>
    <row r="137" spans="1:23" x14ac:dyDescent="0.25">
      <c r="A137" s="19" t="s">
        <v>295</v>
      </c>
      <c r="B137" s="19" t="s">
        <v>296</v>
      </c>
      <c r="C137" s="19" t="s">
        <v>18</v>
      </c>
      <c r="D137" s="19" t="s">
        <v>32</v>
      </c>
      <c r="E137" s="19" t="s">
        <v>467</v>
      </c>
      <c r="F137" s="19" t="s">
        <v>232</v>
      </c>
      <c r="G137" s="24">
        <v>2178967</v>
      </c>
      <c r="H137" s="24">
        <v>3042197</v>
      </c>
      <c r="I137" s="19">
        <v>31.5</v>
      </c>
      <c r="J137" s="24">
        <f t="shared" si="22"/>
        <v>2083904.9450000001</v>
      </c>
      <c r="K137" s="36">
        <f t="shared" si="26"/>
        <v>2083904.9450000001</v>
      </c>
      <c r="L137" s="23">
        <v>184.00940623162845</v>
      </c>
      <c r="M137" s="23" t="s">
        <v>232</v>
      </c>
      <c r="N137" s="24">
        <f t="shared" si="23"/>
        <v>383458111.57260436</v>
      </c>
      <c r="O137" s="24">
        <f t="shared" si="27"/>
        <v>30962325.218929939</v>
      </c>
      <c r="P137" s="24">
        <f t="shared" si="28"/>
        <v>46443487.828394905</v>
      </c>
      <c r="Q137" s="24">
        <f t="shared" si="29"/>
        <v>429901599.40099925</v>
      </c>
      <c r="R137" s="36">
        <f t="shared" si="30"/>
        <v>429901599.40099925</v>
      </c>
      <c r="S137" s="24">
        <v>322584332.15443879</v>
      </c>
      <c r="T137" s="24">
        <f t="shared" si="24"/>
        <v>4838764982.3165817</v>
      </c>
      <c r="U137" s="23">
        <f t="shared" si="25"/>
        <v>8.8845315069462583E-2</v>
      </c>
      <c r="V137" s="23">
        <f t="shared" si="31"/>
        <v>2.9615105023154193E-2</v>
      </c>
      <c r="W137" s="23">
        <f t="shared" si="32"/>
        <v>0.26653594520838775</v>
      </c>
    </row>
    <row r="138" spans="1:23" x14ac:dyDescent="0.25">
      <c r="A138" s="19" t="s">
        <v>297</v>
      </c>
      <c r="B138" s="19" t="s">
        <v>298</v>
      </c>
      <c r="C138" s="19" t="s">
        <v>14</v>
      </c>
      <c r="D138" s="19" t="s">
        <v>15</v>
      </c>
      <c r="E138" s="19" t="s">
        <v>465</v>
      </c>
      <c r="F138" s="19" t="s">
        <v>232</v>
      </c>
      <c r="G138" s="24">
        <v>26846016</v>
      </c>
      <c r="H138" s="24">
        <v>32853228.000000004</v>
      </c>
      <c r="I138" s="19">
        <v>34.1</v>
      </c>
      <c r="J138" s="24">
        <f t="shared" si="22"/>
        <v>21650277.252000004</v>
      </c>
      <c r="K138" s="36">
        <f t="shared" si="26"/>
        <v>21650277.252000004</v>
      </c>
      <c r="L138" s="23">
        <v>85.661559589717186</v>
      </c>
      <c r="M138" s="23" t="s">
        <v>232</v>
      </c>
      <c r="N138" s="24">
        <f t="shared" si="23"/>
        <v>1854596514.9560969</v>
      </c>
      <c r="O138" s="24">
        <f t="shared" si="27"/>
        <v>149749395.60013005</v>
      </c>
      <c r="P138" s="24">
        <f t="shared" si="28"/>
        <v>224624093.40019509</v>
      </c>
      <c r="Q138" s="24">
        <f t="shared" si="29"/>
        <v>2079220608.356292</v>
      </c>
      <c r="R138" s="36">
        <f t="shared" si="30"/>
        <v>2079220608.356292</v>
      </c>
      <c r="S138" s="24">
        <v>1089428122.9560325</v>
      </c>
      <c r="T138" s="24">
        <f t="shared" si="24"/>
        <v>16341421844.340488</v>
      </c>
      <c r="U138" s="23">
        <f t="shared" si="25"/>
        <v>0.12723621164436111</v>
      </c>
      <c r="V138" s="23">
        <f t="shared" si="31"/>
        <v>4.2412070548120365E-2</v>
      </c>
      <c r="W138" s="23">
        <f t="shared" si="32"/>
        <v>0.38170863493308332</v>
      </c>
    </row>
    <row r="139" spans="1:23" x14ac:dyDescent="0.25">
      <c r="A139" s="19" t="s">
        <v>299</v>
      </c>
      <c r="B139" s="19" t="s">
        <v>300</v>
      </c>
      <c r="C139" s="19" t="s">
        <v>45</v>
      </c>
      <c r="D139" s="19" t="s">
        <v>19</v>
      </c>
      <c r="E139" s="19" t="s">
        <v>232</v>
      </c>
      <c r="F139" s="19" t="s">
        <v>232</v>
      </c>
      <c r="G139" s="24">
        <v>16615394</v>
      </c>
      <c r="H139" s="24">
        <v>17268589</v>
      </c>
      <c r="I139" s="19">
        <v>100</v>
      </c>
      <c r="J139" s="24">
        <f t="shared" si="22"/>
        <v>0</v>
      </c>
      <c r="K139" s="36">
        <f t="shared" si="26"/>
        <v>0</v>
      </c>
      <c r="L139" s="23" t="s">
        <v>232</v>
      </c>
      <c r="M139" s="23" t="s">
        <v>232</v>
      </c>
      <c r="N139" s="24" t="e">
        <f t="shared" si="23"/>
        <v>#VALUE!</v>
      </c>
      <c r="O139" s="24" t="e">
        <f t="shared" si="27"/>
        <v>#VALUE!</v>
      </c>
      <c r="P139" s="24" t="e">
        <f t="shared" si="28"/>
        <v>#VALUE!</v>
      </c>
      <c r="Q139" s="24" t="e">
        <f t="shared" si="29"/>
        <v>#VALUE!</v>
      </c>
      <c r="R139" s="36">
        <f t="shared" si="30"/>
        <v>0</v>
      </c>
      <c r="S139" s="24">
        <v>9858835201.9990978</v>
      </c>
      <c r="T139" s="24">
        <f t="shared" si="24"/>
        <v>147882528029.98648</v>
      </c>
      <c r="U139" s="23" t="e">
        <f t="shared" si="25"/>
        <v>#VALUE!</v>
      </c>
      <c r="V139" s="23" t="e">
        <f t="shared" si="31"/>
        <v>#VALUE!</v>
      </c>
      <c r="W139" s="23" t="e">
        <f t="shared" si="32"/>
        <v>#VALUE!</v>
      </c>
    </row>
    <row r="140" spans="1:23" x14ac:dyDescent="0.25">
      <c r="A140" s="19" t="s">
        <v>301</v>
      </c>
      <c r="B140" s="19" t="s">
        <v>302</v>
      </c>
      <c r="C140" s="19" t="s">
        <v>29</v>
      </c>
      <c r="D140" s="19" t="s">
        <v>26</v>
      </c>
      <c r="E140" s="19" t="s">
        <v>232</v>
      </c>
      <c r="F140" s="19" t="s">
        <v>232</v>
      </c>
      <c r="G140" s="24">
        <v>250000</v>
      </c>
      <c r="H140" s="24">
        <v>311623</v>
      </c>
      <c r="I140" s="19">
        <v>100</v>
      </c>
      <c r="J140" s="24">
        <f t="shared" si="22"/>
        <v>0</v>
      </c>
      <c r="K140" s="36">
        <f t="shared" si="26"/>
        <v>0</v>
      </c>
      <c r="L140" s="23" t="s">
        <v>232</v>
      </c>
      <c r="M140" s="23" t="s">
        <v>232</v>
      </c>
      <c r="N140" s="24" t="e">
        <f t="shared" si="23"/>
        <v>#VALUE!</v>
      </c>
      <c r="O140" s="24" t="e">
        <f t="shared" si="27"/>
        <v>#VALUE!</v>
      </c>
      <c r="P140" s="24" t="e">
        <f t="shared" si="28"/>
        <v>#VALUE!</v>
      </c>
      <c r="Q140" s="24" t="e">
        <f t="shared" si="29"/>
        <v>#VALUE!</v>
      </c>
      <c r="R140" s="36">
        <f t="shared" si="30"/>
        <v>0</v>
      </c>
      <c r="S140" s="24" t="s">
        <v>232</v>
      </c>
      <c r="T140" s="24" t="e">
        <f t="shared" si="24"/>
        <v>#VALUE!</v>
      </c>
      <c r="U140" s="23" t="e">
        <f t="shared" si="25"/>
        <v>#VALUE!</v>
      </c>
      <c r="V140" s="23" t="e">
        <f t="shared" si="31"/>
        <v>#VALUE!</v>
      </c>
      <c r="W140" s="23" t="e">
        <f t="shared" si="32"/>
        <v>#VALUE!</v>
      </c>
    </row>
    <row r="141" spans="1:23" x14ac:dyDescent="0.25">
      <c r="A141" s="19" t="s">
        <v>303</v>
      </c>
      <c r="B141" s="19" t="s">
        <v>304</v>
      </c>
      <c r="C141" s="19" t="s">
        <v>45</v>
      </c>
      <c r="D141" s="19" t="s">
        <v>26</v>
      </c>
      <c r="E141" s="19" t="s">
        <v>232</v>
      </c>
      <c r="F141" s="19" t="s">
        <v>232</v>
      </c>
      <c r="G141" s="24">
        <v>4367800</v>
      </c>
      <c r="H141" s="24">
        <v>5208035</v>
      </c>
      <c r="I141" s="19" t="s">
        <v>232</v>
      </c>
      <c r="J141" s="24" t="e">
        <f t="shared" si="22"/>
        <v>#VALUE!</v>
      </c>
      <c r="K141" s="36">
        <f t="shared" si="26"/>
        <v>0</v>
      </c>
      <c r="L141" s="23" t="s">
        <v>232</v>
      </c>
      <c r="M141" s="23" t="s">
        <v>232</v>
      </c>
      <c r="N141" s="24" t="e">
        <f t="shared" si="23"/>
        <v>#VALUE!</v>
      </c>
      <c r="O141" s="24" t="e">
        <f t="shared" si="27"/>
        <v>#VALUE!</v>
      </c>
      <c r="P141" s="24" t="e">
        <f t="shared" si="28"/>
        <v>#VALUE!</v>
      </c>
      <c r="Q141" s="24" t="e">
        <f t="shared" si="29"/>
        <v>#VALUE!</v>
      </c>
      <c r="R141" s="36">
        <f t="shared" si="30"/>
        <v>0</v>
      </c>
      <c r="S141" s="24">
        <v>3454391570.3166966</v>
      </c>
      <c r="T141" s="24">
        <f t="shared" si="24"/>
        <v>51815873554.75045</v>
      </c>
      <c r="U141" s="23" t="e">
        <f t="shared" si="25"/>
        <v>#VALUE!</v>
      </c>
      <c r="V141" s="23" t="e">
        <f t="shared" si="31"/>
        <v>#VALUE!</v>
      </c>
      <c r="W141" s="23" t="e">
        <f t="shared" si="32"/>
        <v>#VALUE!</v>
      </c>
    </row>
    <row r="142" spans="1:23" x14ac:dyDescent="0.25">
      <c r="A142" s="19" t="s">
        <v>305</v>
      </c>
      <c r="B142" s="19" t="s">
        <v>306</v>
      </c>
      <c r="C142" s="19" t="s">
        <v>40</v>
      </c>
      <c r="D142" s="19" t="s">
        <v>35</v>
      </c>
      <c r="E142" s="19" t="s">
        <v>468</v>
      </c>
      <c r="F142" s="19" t="s">
        <v>232</v>
      </c>
      <c r="G142" s="24">
        <v>5822209</v>
      </c>
      <c r="H142" s="24">
        <v>7390914</v>
      </c>
      <c r="I142" s="19">
        <v>52</v>
      </c>
      <c r="J142" s="24">
        <f t="shared" si="22"/>
        <v>3547638.7199999997</v>
      </c>
      <c r="K142" s="36">
        <f t="shared" si="26"/>
        <v>3547638.7199999997</v>
      </c>
      <c r="L142" s="23">
        <v>348.75115633672527</v>
      </c>
      <c r="M142" s="23" t="s">
        <v>232</v>
      </c>
      <c r="N142" s="24">
        <f t="shared" si="23"/>
        <v>1237243105.8649399</v>
      </c>
      <c r="O142" s="24">
        <f t="shared" si="27"/>
        <v>99901194.583064571</v>
      </c>
      <c r="P142" s="24">
        <f t="shared" si="28"/>
        <v>149851791.87459686</v>
      </c>
      <c r="Q142" s="24">
        <f t="shared" si="29"/>
        <v>1387094897.7395368</v>
      </c>
      <c r="R142" s="36">
        <f t="shared" si="30"/>
        <v>1387094897.7395368</v>
      </c>
      <c r="S142" s="24">
        <v>499234155.04849941</v>
      </c>
      <c r="T142" s="24">
        <f t="shared" si="24"/>
        <v>7488512325.7274914</v>
      </c>
      <c r="U142" s="23">
        <f t="shared" si="25"/>
        <v>0.18522970082776538</v>
      </c>
      <c r="V142" s="23">
        <f t="shared" si="31"/>
        <v>6.1743233609255134E-2</v>
      </c>
      <c r="W142" s="23">
        <f t="shared" si="32"/>
        <v>0.55568910248329617</v>
      </c>
    </row>
    <row r="143" spans="1:23" x14ac:dyDescent="0.25">
      <c r="A143" s="19" t="s">
        <v>307</v>
      </c>
      <c r="B143" s="19" t="s">
        <v>308</v>
      </c>
      <c r="C143" s="19" t="s">
        <v>14</v>
      </c>
      <c r="D143" s="19" t="s">
        <v>32</v>
      </c>
      <c r="E143" s="19" t="s">
        <v>467</v>
      </c>
      <c r="F143" s="19" t="s">
        <v>232</v>
      </c>
      <c r="G143" s="24">
        <v>15893746</v>
      </c>
      <c r="H143" s="24">
        <v>34512751</v>
      </c>
      <c r="I143" s="19">
        <v>8.6</v>
      </c>
      <c r="J143" s="24">
        <f t="shared" si="22"/>
        <v>31544654.414000001</v>
      </c>
      <c r="K143" s="36">
        <f t="shared" si="26"/>
        <v>31544654.414000001</v>
      </c>
      <c r="L143" s="23">
        <v>104.51467268623024</v>
      </c>
      <c r="M143" s="23" t="s">
        <v>232</v>
      </c>
      <c r="N143" s="24">
        <f t="shared" si="23"/>
        <v>3296879231.0794582</v>
      </c>
      <c r="O143" s="24">
        <f t="shared" si="27"/>
        <v>266206513.51351085</v>
      </c>
      <c r="P143" s="24">
        <f t="shared" si="28"/>
        <v>399309770.27026629</v>
      </c>
      <c r="Q143" s="24">
        <f t="shared" si="29"/>
        <v>3696189001.3497248</v>
      </c>
      <c r="R143" s="36">
        <f t="shared" si="30"/>
        <v>3696189001.3497248</v>
      </c>
      <c r="S143" s="24">
        <v>616279880.15976942</v>
      </c>
      <c r="T143" s="24">
        <f t="shared" si="24"/>
        <v>9244198202.3965416</v>
      </c>
      <c r="U143" s="23">
        <f t="shared" si="25"/>
        <v>0.39983878757505376</v>
      </c>
      <c r="V143" s="23">
        <f t="shared" si="31"/>
        <v>0.13327959585835125</v>
      </c>
      <c r="W143" s="23">
        <f t="shared" si="32"/>
        <v>1.1995163627251615</v>
      </c>
    </row>
    <row r="144" spans="1:23" x14ac:dyDescent="0.25">
      <c r="A144" s="19" t="s">
        <v>309</v>
      </c>
      <c r="B144" s="19" t="s">
        <v>310</v>
      </c>
      <c r="C144" s="19" t="s">
        <v>40</v>
      </c>
      <c r="D144" s="19" t="s">
        <v>32</v>
      </c>
      <c r="E144" s="19" t="s">
        <v>467</v>
      </c>
      <c r="F144" s="19" t="s">
        <v>232</v>
      </c>
      <c r="G144" s="24">
        <v>159707780</v>
      </c>
      <c r="H144" s="24">
        <v>273120384</v>
      </c>
      <c r="I144" s="19">
        <v>28.5</v>
      </c>
      <c r="J144" s="24">
        <f t="shared" si="22"/>
        <v>195281074.56000003</v>
      </c>
      <c r="K144" s="36">
        <f t="shared" si="26"/>
        <v>195281074.56000003</v>
      </c>
      <c r="L144" s="23">
        <v>203.48012483056456</v>
      </c>
      <c r="M144" s="23" t="s">
        <v>232</v>
      </c>
      <c r="N144" s="24">
        <f t="shared" si="23"/>
        <v>39735817428.515594</v>
      </c>
      <c r="O144" s="24">
        <f t="shared" si="27"/>
        <v>3208468578.2654915</v>
      </c>
      <c r="P144" s="24">
        <f t="shared" si="28"/>
        <v>4812702867.3982372</v>
      </c>
      <c r="Q144" s="24">
        <f t="shared" si="29"/>
        <v>44548520295.913834</v>
      </c>
      <c r="R144" s="36">
        <f t="shared" si="30"/>
        <v>44548520295.913834</v>
      </c>
      <c r="S144" s="24">
        <v>105572259626.5011</v>
      </c>
      <c r="T144" s="24">
        <f t="shared" si="24"/>
        <v>1583583894397.5166</v>
      </c>
      <c r="U144" s="23">
        <f t="shared" si="25"/>
        <v>2.8131455777947633E-2</v>
      </c>
      <c r="V144" s="23">
        <f t="shared" si="31"/>
        <v>9.3771519259825444E-3</v>
      </c>
      <c r="W144" s="23">
        <f t="shared" si="32"/>
        <v>8.4394367333842896E-2</v>
      </c>
    </row>
    <row r="145" spans="1:23" x14ac:dyDescent="0.25">
      <c r="A145" s="19" t="s">
        <v>311</v>
      </c>
      <c r="B145" s="19" t="s">
        <v>312</v>
      </c>
      <c r="C145" s="19" t="s">
        <v>29</v>
      </c>
      <c r="D145" s="19" t="s">
        <v>26</v>
      </c>
      <c r="E145" s="19" t="s">
        <v>232</v>
      </c>
      <c r="F145" s="19" t="s">
        <v>473</v>
      </c>
      <c r="G145" s="24">
        <v>53860</v>
      </c>
      <c r="H145" s="24">
        <v>56623</v>
      </c>
      <c r="I145" s="19">
        <v>78.7</v>
      </c>
      <c r="J145" s="24">
        <f t="shared" si="22"/>
        <v>12060.698999999999</v>
      </c>
      <c r="K145" s="36">
        <f t="shared" si="26"/>
        <v>12060.698999999999</v>
      </c>
      <c r="L145" s="23">
        <v>123.43837404437815</v>
      </c>
      <c r="M145" s="23">
        <v>123.43837404437815</v>
      </c>
      <c r="N145" s="24">
        <f t="shared" si="23"/>
        <v>1488753.0743986573</v>
      </c>
      <c r="O145" s="24">
        <f t="shared" si="27"/>
        <v>120209.36699231958</v>
      </c>
      <c r="P145" s="24">
        <f t="shared" si="28"/>
        <v>180314.05048847938</v>
      </c>
      <c r="Q145" s="24">
        <f t="shared" si="29"/>
        <v>1669067.1248871367</v>
      </c>
      <c r="R145" s="36">
        <f t="shared" si="30"/>
        <v>1669067.1248871367</v>
      </c>
      <c r="S145" s="24" t="s">
        <v>232</v>
      </c>
      <c r="T145" s="24" t="e">
        <f t="shared" si="24"/>
        <v>#VALUE!</v>
      </c>
      <c r="U145" s="23" t="e">
        <f t="shared" si="25"/>
        <v>#VALUE!</v>
      </c>
      <c r="V145" s="23" t="e">
        <f t="shared" si="31"/>
        <v>#VALUE!</v>
      </c>
      <c r="W145" s="23" t="e">
        <f t="shared" si="32"/>
        <v>#VALUE!</v>
      </c>
    </row>
    <row r="146" spans="1:23" x14ac:dyDescent="0.25">
      <c r="A146" s="19" t="s">
        <v>313</v>
      </c>
      <c r="B146" s="19" t="s">
        <v>314</v>
      </c>
      <c r="C146" s="19" t="s">
        <v>45</v>
      </c>
      <c r="D146" s="19" t="s">
        <v>19</v>
      </c>
      <c r="E146" s="19" t="s">
        <v>232</v>
      </c>
      <c r="F146" s="19" t="s">
        <v>232</v>
      </c>
      <c r="G146" s="24">
        <v>4889252</v>
      </c>
      <c r="H146" s="24">
        <v>5837893</v>
      </c>
      <c r="I146" s="19">
        <v>100</v>
      </c>
      <c r="J146" s="24">
        <f t="shared" si="22"/>
        <v>0</v>
      </c>
      <c r="K146" s="36">
        <f t="shared" si="26"/>
        <v>0</v>
      </c>
      <c r="L146" s="23" t="s">
        <v>232</v>
      </c>
      <c r="M146" s="23" t="s">
        <v>232</v>
      </c>
      <c r="N146" s="24" t="e">
        <f t="shared" si="23"/>
        <v>#VALUE!</v>
      </c>
      <c r="O146" s="24" t="e">
        <f t="shared" si="27"/>
        <v>#VALUE!</v>
      </c>
      <c r="P146" s="24" t="e">
        <f t="shared" si="28"/>
        <v>#VALUE!</v>
      </c>
      <c r="Q146" s="24" t="e">
        <f t="shared" si="29"/>
        <v>#VALUE!</v>
      </c>
      <c r="R146" s="36">
        <f t="shared" si="30"/>
        <v>0</v>
      </c>
      <c r="S146" s="24">
        <v>55897649769.889412</v>
      </c>
      <c r="T146" s="24">
        <f t="shared" si="24"/>
        <v>838464746548.34119</v>
      </c>
      <c r="U146" s="23" t="e">
        <f t="shared" si="25"/>
        <v>#VALUE!</v>
      </c>
      <c r="V146" s="23" t="e">
        <f t="shared" si="31"/>
        <v>#VALUE!</v>
      </c>
      <c r="W146" s="23" t="e">
        <f t="shared" si="32"/>
        <v>#VALUE!</v>
      </c>
    </row>
    <row r="147" spans="1:23" x14ac:dyDescent="0.25">
      <c r="A147" s="19" t="s">
        <v>315</v>
      </c>
      <c r="B147" s="19" t="s">
        <v>316</v>
      </c>
      <c r="C147" s="19" t="s">
        <v>29</v>
      </c>
      <c r="D147" s="19" t="s">
        <v>22</v>
      </c>
      <c r="E147" s="19" t="s">
        <v>474</v>
      </c>
      <c r="F147" s="19" t="s">
        <v>232</v>
      </c>
      <c r="G147" s="24">
        <v>2802768</v>
      </c>
      <c r="H147" s="24">
        <v>4920265</v>
      </c>
      <c r="I147" s="19">
        <v>96.6</v>
      </c>
      <c r="J147" s="24">
        <f t="shared" si="22"/>
        <v>167289.01000000015</v>
      </c>
      <c r="K147" s="36">
        <f t="shared" si="26"/>
        <v>167289.01000000015</v>
      </c>
      <c r="L147" s="23">
        <v>482.03592814371257</v>
      </c>
      <c r="M147" s="23" t="s">
        <v>232</v>
      </c>
      <c r="N147" s="24">
        <f t="shared" si="23"/>
        <v>80639313.203592882</v>
      </c>
      <c r="O147" s="24">
        <f t="shared" si="27"/>
        <v>6511221.3446241068</v>
      </c>
      <c r="P147" s="24">
        <f t="shared" si="28"/>
        <v>9766832.0169361606</v>
      </c>
      <c r="Q147" s="24">
        <f t="shared" si="29"/>
        <v>90406145.22052905</v>
      </c>
      <c r="R147" s="36">
        <f t="shared" si="30"/>
        <v>90406145.22052905</v>
      </c>
      <c r="S147" s="24">
        <v>24681714780.510975</v>
      </c>
      <c r="T147" s="24">
        <f t="shared" si="24"/>
        <v>370225721707.66461</v>
      </c>
      <c r="U147" s="23">
        <f t="shared" si="25"/>
        <v>2.4419196160529061E-4</v>
      </c>
      <c r="V147" s="23">
        <f t="shared" si="31"/>
        <v>8.1397320535096871E-5</v>
      </c>
      <c r="W147" s="23">
        <f t="shared" si="32"/>
        <v>7.3257588481587179E-4</v>
      </c>
    </row>
    <row r="148" spans="1:23" x14ac:dyDescent="0.25">
      <c r="A148" s="19" t="s">
        <v>317</v>
      </c>
      <c r="B148" s="19" t="s">
        <v>318</v>
      </c>
      <c r="C148" s="19" t="s">
        <v>40</v>
      </c>
      <c r="D148" s="19" t="s">
        <v>15</v>
      </c>
      <c r="E148" s="19" t="s">
        <v>465</v>
      </c>
      <c r="F148" s="19" t="s">
        <v>232</v>
      </c>
      <c r="G148" s="24">
        <v>173149306</v>
      </c>
      <c r="H148" s="24">
        <v>231743898</v>
      </c>
      <c r="I148" s="19">
        <v>47.3</v>
      </c>
      <c r="J148" s="24">
        <f t="shared" si="22"/>
        <v>122129034.24600001</v>
      </c>
      <c r="K148" s="36">
        <f t="shared" si="26"/>
        <v>122129034.24600001</v>
      </c>
      <c r="L148" s="23">
        <v>115.29694061187763</v>
      </c>
      <c r="M148" s="23" t="s">
        <v>232</v>
      </c>
      <c r="N148" s="24">
        <f t="shared" si="23"/>
        <v>14081104008.447033</v>
      </c>
      <c r="O148" s="24">
        <f t="shared" si="27"/>
        <v>1136978743.1620557</v>
      </c>
      <c r="P148" s="24">
        <f t="shared" si="28"/>
        <v>1705468114.7430837</v>
      </c>
      <c r="Q148" s="24">
        <f t="shared" si="29"/>
        <v>15786572123.190117</v>
      </c>
      <c r="R148" s="36">
        <f t="shared" si="30"/>
        <v>15786572123.190117</v>
      </c>
      <c r="S148" s="24">
        <v>8516083273.6478567</v>
      </c>
      <c r="T148" s="24">
        <f t="shared" si="24"/>
        <v>127741249104.71785</v>
      </c>
      <c r="U148" s="23">
        <f t="shared" si="25"/>
        <v>0.12358241549876213</v>
      </c>
      <c r="V148" s="23">
        <f t="shared" si="31"/>
        <v>4.1194138499587377E-2</v>
      </c>
      <c r="W148" s="23">
        <f t="shared" si="32"/>
        <v>0.37074724649628638</v>
      </c>
    </row>
    <row r="149" spans="1:23" x14ac:dyDescent="0.25">
      <c r="A149" s="19" t="s">
        <v>319</v>
      </c>
      <c r="B149" s="19" t="s">
        <v>320</v>
      </c>
      <c r="C149" s="19" t="s">
        <v>18</v>
      </c>
      <c r="D149" s="19" t="s">
        <v>26</v>
      </c>
      <c r="E149" s="19" t="s">
        <v>232</v>
      </c>
      <c r="F149" s="19" t="s">
        <v>473</v>
      </c>
      <c r="G149" s="24">
        <v>20470</v>
      </c>
      <c r="H149" s="24">
        <v>24836</v>
      </c>
      <c r="I149" s="19">
        <v>100</v>
      </c>
      <c r="J149" s="24">
        <f t="shared" si="22"/>
        <v>0</v>
      </c>
      <c r="K149" s="36">
        <f t="shared" si="26"/>
        <v>0</v>
      </c>
      <c r="L149" s="23">
        <v>123.43837404437815</v>
      </c>
      <c r="M149" s="23" t="s">
        <v>232</v>
      </c>
      <c r="N149" s="24">
        <f t="shared" si="23"/>
        <v>0</v>
      </c>
      <c r="O149" s="24">
        <f t="shared" si="27"/>
        <v>0</v>
      </c>
      <c r="P149" s="24">
        <f t="shared" si="28"/>
        <v>0</v>
      </c>
      <c r="Q149" s="24">
        <f t="shared" si="29"/>
        <v>0</v>
      </c>
      <c r="R149" s="36">
        <f t="shared" si="30"/>
        <v>0</v>
      </c>
      <c r="S149" s="24">
        <v>0</v>
      </c>
      <c r="T149" s="24">
        <f t="shared" si="24"/>
        <v>0</v>
      </c>
      <c r="U149" s="23" t="e">
        <f t="shared" si="25"/>
        <v>#DIV/0!</v>
      </c>
      <c r="V149" s="23" t="e">
        <f t="shared" si="31"/>
        <v>#DIV/0!</v>
      </c>
      <c r="W149" s="23" t="e">
        <f t="shared" si="32"/>
        <v>#DIV/0!</v>
      </c>
    </row>
    <row r="150" spans="1:23" x14ac:dyDescent="0.25">
      <c r="A150" s="19" t="s">
        <v>321</v>
      </c>
      <c r="B150" s="19" t="s">
        <v>322</v>
      </c>
      <c r="C150" s="19" t="s">
        <v>18</v>
      </c>
      <c r="D150" s="19" t="s">
        <v>35</v>
      </c>
      <c r="E150" s="19" t="s">
        <v>468</v>
      </c>
      <c r="F150" s="19" t="s">
        <v>232</v>
      </c>
      <c r="G150" s="24">
        <v>3678128</v>
      </c>
      <c r="H150" s="24">
        <v>4882047</v>
      </c>
      <c r="I150" s="19">
        <v>72.3</v>
      </c>
      <c r="J150" s="24">
        <f t="shared" si="22"/>
        <v>1352327.0190000001</v>
      </c>
      <c r="K150" s="36">
        <f t="shared" si="26"/>
        <v>1352327.0190000001</v>
      </c>
      <c r="L150" s="23">
        <v>246.82124158563948</v>
      </c>
      <c r="M150" s="23" t="s">
        <v>232</v>
      </c>
      <c r="N150" s="24">
        <f t="shared" si="23"/>
        <v>333783033.85938668</v>
      </c>
      <c r="O150" s="24">
        <f t="shared" si="27"/>
        <v>26951311.068976175</v>
      </c>
      <c r="P150" s="24">
        <f t="shared" si="28"/>
        <v>40426966.603464268</v>
      </c>
      <c r="Q150" s="24">
        <f t="shared" si="29"/>
        <v>374210000.46285093</v>
      </c>
      <c r="R150" s="36">
        <f t="shared" si="30"/>
        <v>374210000.46285093</v>
      </c>
      <c r="S150" s="24">
        <v>223144062.80733454</v>
      </c>
      <c r="T150" s="24">
        <f t="shared" si="24"/>
        <v>3347160942.1100183</v>
      </c>
      <c r="U150" s="23">
        <f t="shared" si="25"/>
        <v>0.11179922535393608</v>
      </c>
      <c r="V150" s="23">
        <f t="shared" si="31"/>
        <v>3.7266408451312023E-2</v>
      </c>
      <c r="W150" s="23">
        <f t="shared" si="32"/>
        <v>0.3353976760618082</v>
      </c>
    </row>
    <row r="151" spans="1:23" x14ac:dyDescent="0.25">
      <c r="A151" s="19" t="s">
        <v>323</v>
      </c>
      <c r="B151" s="19" t="s">
        <v>324</v>
      </c>
      <c r="C151" s="19" t="s">
        <v>40</v>
      </c>
      <c r="D151" s="19" t="s">
        <v>26</v>
      </c>
      <c r="E151" s="19" t="s">
        <v>473</v>
      </c>
      <c r="F151" s="19" t="s">
        <v>232</v>
      </c>
      <c r="G151" s="24">
        <v>6858945</v>
      </c>
      <c r="H151" s="24">
        <v>10044486</v>
      </c>
      <c r="I151" s="19">
        <v>18.7</v>
      </c>
      <c r="J151" s="24">
        <f t="shared" si="22"/>
        <v>8166167.1179999998</v>
      </c>
      <c r="K151" s="36">
        <f t="shared" si="26"/>
        <v>8166167.1179999998</v>
      </c>
      <c r="L151" s="23">
        <v>121.6804527644754</v>
      </c>
      <c r="M151" s="23" t="s">
        <v>232</v>
      </c>
      <c r="N151" s="24">
        <f t="shared" si="23"/>
        <v>993662912.26861119</v>
      </c>
      <c r="O151" s="24">
        <f t="shared" si="27"/>
        <v>80233311.85112901</v>
      </c>
      <c r="P151" s="24">
        <f t="shared" si="28"/>
        <v>120349967.77669352</v>
      </c>
      <c r="Q151" s="24">
        <f t="shared" si="29"/>
        <v>1114012880.0453048</v>
      </c>
      <c r="R151" s="36">
        <f t="shared" si="30"/>
        <v>1114012880.0453048</v>
      </c>
      <c r="S151" s="24">
        <v>4102225109.4098563</v>
      </c>
      <c r="T151" s="24">
        <f t="shared" si="24"/>
        <v>61533376641.147842</v>
      </c>
      <c r="U151" s="23">
        <f t="shared" si="25"/>
        <v>1.8104205243636113E-2</v>
      </c>
      <c r="V151" s="23">
        <f t="shared" si="31"/>
        <v>6.0347350812120374E-3</v>
      </c>
      <c r="W151" s="23">
        <f t="shared" si="32"/>
        <v>5.4312615730908342E-2</v>
      </c>
    </row>
    <row r="152" spans="1:23" x14ac:dyDescent="0.25">
      <c r="A152" s="19" t="s">
        <v>325</v>
      </c>
      <c r="B152" s="19" t="s">
        <v>326</v>
      </c>
      <c r="C152" s="19" t="s">
        <v>40</v>
      </c>
      <c r="D152" s="19" t="s">
        <v>35</v>
      </c>
      <c r="E152" s="19" t="s">
        <v>468</v>
      </c>
      <c r="F152" s="19" t="s">
        <v>232</v>
      </c>
      <c r="G152" s="24">
        <v>6459721</v>
      </c>
      <c r="H152" s="24">
        <v>8693133</v>
      </c>
      <c r="I152" s="19">
        <v>79.3</v>
      </c>
      <c r="J152" s="24">
        <f t="shared" si="22"/>
        <v>1799478.5310000007</v>
      </c>
      <c r="K152" s="36">
        <f t="shared" si="26"/>
        <v>1799478.5310000007</v>
      </c>
      <c r="L152" s="23">
        <v>144.43988510463686</v>
      </c>
      <c r="M152" s="23" t="s">
        <v>232</v>
      </c>
      <c r="N152" s="24">
        <f t="shared" si="23"/>
        <v>259916472.26590082</v>
      </c>
      <c r="O152" s="24">
        <f t="shared" si="27"/>
        <v>20986955.55311016</v>
      </c>
      <c r="P152" s="24">
        <f t="shared" si="28"/>
        <v>31480433.329665236</v>
      </c>
      <c r="Q152" s="24">
        <f t="shared" si="29"/>
        <v>291396905.59556603</v>
      </c>
      <c r="R152" s="36">
        <f t="shared" si="30"/>
        <v>291396905.59556603</v>
      </c>
      <c r="S152" s="24">
        <v>1106511912.5295491</v>
      </c>
      <c r="T152" s="24">
        <f t="shared" si="24"/>
        <v>16597678687.943237</v>
      </c>
      <c r="U152" s="23">
        <f t="shared" si="25"/>
        <v>1.7556485522715923E-2</v>
      </c>
      <c r="V152" s="23">
        <f t="shared" si="31"/>
        <v>5.852161840905307E-3</v>
      </c>
      <c r="W152" s="23">
        <f t="shared" si="32"/>
        <v>5.2669456568147761E-2</v>
      </c>
    </row>
    <row r="153" spans="1:23" x14ac:dyDescent="0.25">
      <c r="A153" s="19" t="s">
        <v>327</v>
      </c>
      <c r="B153" s="19" t="s">
        <v>328</v>
      </c>
      <c r="C153" s="19" t="s">
        <v>18</v>
      </c>
      <c r="D153" s="19" t="s">
        <v>35</v>
      </c>
      <c r="E153" s="19" t="s">
        <v>468</v>
      </c>
      <c r="F153" s="19" t="s">
        <v>232</v>
      </c>
      <c r="G153" s="24">
        <v>29262830</v>
      </c>
      <c r="H153" s="24">
        <v>36513996</v>
      </c>
      <c r="I153" s="19">
        <v>71.5</v>
      </c>
      <c r="J153" s="24">
        <f t="shared" si="22"/>
        <v>10406488.860000001</v>
      </c>
      <c r="K153" s="36">
        <f t="shared" si="26"/>
        <v>10406488.860000001</v>
      </c>
      <c r="L153" s="23">
        <v>264.60950300382302</v>
      </c>
      <c r="M153" s="23" t="s">
        <v>232</v>
      </c>
      <c r="N153" s="24">
        <f t="shared" si="23"/>
        <v>2753655845.2594213</v>
      </c>
      <c r="O153" s="24">
        <f t="shared" si="27"/>
        <v>222343941.22547197</v>
      </c>
      <c r="P153" s="24">
        <f t="shared" si="28"/>
        <v>333515911.83820796</v>
      </c>
      <c r="Q153" s="24">
        <f t="shared" si="29"/>
        <v>3087171757.0976295</v>
      </c>
      <c r="R153" s="36">
        <f t="shared" si="30"/>
        <v>3087171757.0976295</v>
      </c>
      <c r="S153" s="24">
        <v>18873226426.094227</v>
      </c>
      <c r="T153" s="24">
        <f t="shared" si="24"/>
        <v>283098396391.41339</v>
      </c>
      <c r="U153" s="23">
        <f t="shared" si="25"/>
        <v>1.0904942579855836E-2</v>
      </c>
      <c r="V153" s="23">
        <f t="shared" si="31"/>
        <v>3.6349808599519451E-3</v>
      </c>
      <c r="W153" s="23">
        <f t="shared" si="32"/>
        <v>3.2714827739567506E-2</v>
      </c>
    </row>
    <row r="154" spans="1:23" x14ac:dyDescent="0.25">
      <c r="A154" s="19" t="s">
        <v>329</v>
      </c>
      <c r="B154" s="19" t="s">
        <v>330</v>
      </c>
      <c r="C154" s="19" t="s">
        <v>40</v>
      </c>
      <c r="D154" s="19" t="s">
        <v>26</v>
      </c>
      <c r="E154" s="19" t="s">
        <v>471</v>
      </c>
      <c r="F154" s="19" t="s">
        <v>232</v>
      </c>
      <c r="G154" s="24">
        <v>93444322</v>
      </c>
      <c r="H154" s="24">
        <v>127797234</v>
      </c>
      <c r="I154" s="19">
        <v>74.3</v>
      </c>
      <c r="J154" s="24">
        <f t="shared" si="22"/>
        <v>32843889.138</v>
      </c>
      <c r="K154" s="36">
        <f t="shared" si="26"/>
        <v>32843889.138</v>
      </c>
      <c r="L154" s="23">
        <v>70.331447049312857</v>
      </c>
      <c r="M154" s="23" t="s">
        <v>232</v>
      </c>
      <c r="N154" s="24">
        <f t="shared" si="23"/>
        <v>2309958249.8027487</v>
      </c>
      <c r="O154" s="24">
        <f t="shared" si="27"/>
        <v>186517578.88032293</v>
      </c>
      <c r="P154" s="24">
        <f t="shared" si="28"/>
        <v>279776368.3204844</v>
      </c>
      <c r="Q154" s="24">
        <f t="shared" si="29"/>
        <v>2589734618.1232328</v>
      </c>
      <c r="R154" s="36">
        <f t="shared" si="30"/>
        <v>2589734618.1232328</v>
      </c>
      <c r="S154" s="24">
        <v>7783755597.3120575</v>
      </c>
      <c r="T154" s="24">
        <f t="shared" si="24"/>
        <v>116756333959.68086</v>
      </c>
      <c r="U154" s="23">
        <f t="shared" si="25"/>
        <v>2.2180677743937546E-2</v>
      </c>
      <c r="V154" s="23">
        <f t="shared" si="31"/>
        <v>7.3935592479791815E-3</v>
      </c>
      <c r="W154" s="23">
        <f t="shared" si="32"/>
        <v>6.6542033231812639E-2</v>
      </c>
    </row>
    <row r="155" spans="1:23" x14ac:dyDescent="0.25">
      <c r="A155" s="19" t="s">
        <v>331</v>
      </c>
      <c r="B155" s="19" t="s">
        <v>332</v>
      </c>
      <c r="C155" s="19" t="s">
        <v>45</v>
      </c>
      <c r="D155" s="19" t="s">
        <v>19</v>
      </c>
      <c r="E155" s="19" t="s">
        <v>232</v>
      </c>
      <c r="F155" s="19" t="s">
        <v>232</v>
      </c>
      <c r="G155" s="24">
        <v>38183683</v>
      </c>
      <c r="H155" s="24">
        <v>37447642</v>
      </c>
      <c r="I155" s="19" t="s">
        <v>232</v>
      </c>
      <c r="J155" s="24" t="e">
        <f t="shared" si="22"/>
        <v>#VALUE!</v>
      </c>
      <c r="K155" s="36">
        <f t="shared" si="26"/>
        <v>0</v>
      </c>
      <c r="L155" s="23" t="s">
        <v>232</v>
      </c>
      <c r="M155" s="23" t="s">
        <v>232</v>
      </c>
      <c r="N155" s="24" t="e">
        <f t="shared" si="23"/>
        <v>#VALUE!</v>
      </c>
      <c r="O155" s="24" t="e">
        <f t="shared" si="27"/>
        <v>#VALUE!</v>
      </c>
      <c r="P155" s="24" t="e">
        <f t="shared" si="28"/>
        <v>#VALUE!</v>
      </c>
      <c r="Q155" s="24" t="e">
        <f t="shared" si="29"/>
        <v>#VALUE!</v>
      </c>
      <c r="R155" s="36">
        <f t="shared" si="30"/>
        <v>0</v>
      </c>
      <c r="S155" s="24">
        <v>8848984711.9180393</v>
      </c>
      <c r="T155" s="24">
        <f t="shared" si="24"/>
        <v>132734770678.77058</v>
      </c>
      <c r="U155" s="23" t="e">
        <f t="shared" si="25"/>
        <v>#VALUE!</v>
      </c>
      <c r="V155" s="23" t="e">
        <f t="shared" si="31"/>
        <v>#VALUE!</v>
      </c>
      <c r="W155" s="23" t="e">
        <f t="shared" si="32"/>
        <v>#VALUE!</v>
      </c>
    </row>
    <row r="156" spans="1:23" x14ac:dyDescent="0.25">
      <c r="A156" s="19" t="s">
        <v>333</v>
      </c>
      <c r="B156" s="19" t="s">
        <v>334</v>
      </c>
      <c r="C156" s="19" t="s">
        <v>45</v>
      </c>
      <c r="D156" s="19" t="s">
        <v>19</v>
      </c>
      <c r="E156" s="19" t="s">
        <v>232</v>
      </c>
      <c r="F156" s="19" t="s">
        <v>232</v>
      </c>
      <c r="G156" s="24">
        <v>10573100</v>
      </c>
      <c r="H156" s="24">
        <v>10432816</v>
      </c>
      <c r="I156" s="19">
        <v>100</v>
      </c>
      <c r="J156" s="24">
        <f t="shared" si="22"/>
        <v>0</v>
      </c>
      <c r="K156" s="36">
        <f t="shared" si="26"/>
        <v>0</v>
      </c>
      <c r="L156" s="23" t="s">
        <v>232</v>
      </c>
      <c r="M156" s="23" t="s">
        <v>232</v>
      </c>
      <c r="N156" s="24" t="e">
        <f t="shared" si="23"/>
        <v>#VALUE!</v>
      </c>
      <c r="O156" s="24" t="e">
        <f t="shared" si="27"/>
        <v>#VALUE!</v>
      </c>
      <c r="P156" s="24" t="e">
        <f t="shared" si="28"/>
        <v>#VALUE!</v>
      </c>
      <c r="Q156" s="24" t="e">
        <f t="shared" si="29"/>
        <v>#VALUE!</v>
      </c>
      <c r="R156" s="36">
        <f t="shared" si="30"/>
        <v>0</v>
      </c>
      <c r="S156" s="24">
        <v>1382577582.3167782</v>
      </c>
      <c r="T156" s="24">
        <f t="shared" si="24"/>
        <v>20738663734.751671</v>
      </c>
      <c r="U156" s="23" t="e">
        <f t="shared" si="25"/>
        <v>#VALUE!</v>
      </c>
      <c r="V156" s="23" t="e">
        <f t="shared" si="31"/>
        <v>#VALUE!</v>
      </c>
      <c r="W156" s="23" t="e">
        <f t="shared" si="32"/>
        <v>#VALUE!</v>
      </c>
    </row>
    <row r="157" spans="1:23" s="31" customFormat="1" x14ac:dyDescent="0.25">
      <c r="A157" s="31" t="s">
        <v>335</v>
      </c>
      <c r="B157" s="31" t="s">
        <v>336</v>
      </c>
      <c r="C157" s="31" t="s">
        <v>29</v>
      </c>
      <c r="D157" s="31" t="s">
        <v>35</v>
      </c>
      <c r="E157" s="31" t="s">
        <v>468</v>
      </c>
      <c r="F157" s="19" t="s">
        <v>232</v>
      </c>
      <c r="G157" s="30">
        <v>3721208</v>
      </c>
      <c r="H157" s="30">
        <v>3703707</v>
      </c>
      <c r="I157" s="31">
        <v>99.3</v>
      </c>
      <c r="J157" s="24">
        <f t="shared" si="22"/>
        <v>25925.949000000022</v>
      </c>
      <c r="K157" s="36">
        <f t="shared" si="26"/>
        <v>25925.949000000022</v>
      </c>
      <c r="L157" s="23" t="s">
        <v>232</v>
      </c>
      <c r="M157" s="23" t="s">
        <v>232</v>
      </c>
      <c r="N157" s="24" t="e">
        <f t="shared" si="23"/>
        <v>#VALUE!</v>
      </c>
      <c r="O157" s="24" t="e">
        <f t="shared" si="27"/>
        <v>#VALUE!</v>
      </c>
      <c r="P157" s="24" t="e">
        <f t="shared" si="28"/>
        <v>#VALUE!</v>
      </c>
      <c r="Q157" s="24" t="e">
        <f t="shared" si="29"/>
        <v>#VALUE!</v>
      </c>
      <c r="R157" s="36">
        <f t="shared" si="30"/>
        <v>0</v>
      </c>
      <c r="S157" s="30">
        <v>0</v>
      </c>
      <c r="T157" s="24">
        <f t="shared" si="24"/>
        <v>0</v>
      </c>
      <c r="U157" s="23" t="e">
        <f t="shared" si="25"/>
        <v>#VALUE!</v>
      </c>
      <c r="V157" s="23" t="e">
        <f t="shared" si="31"/>
        <v>#VALUE!</v>
      </c>
      <c r="W157" s="23" t="e">
        <f t="shared" si="32"/>
        <v>#VALUE!</v>
      </c>
    </row>
    <row r="158" spans="1:23" x14ac:dyDescent="0.25">
      <c r="A158" s="19" t="s">
        <v>337</v>
      </c>
      <c r="B158" s="19" t="s">
        <v>338</v>
      </c>
      <c r="C158" s="19" t="s">
        <v>29</v>
      </c>
      <c r="D158" s="19" t="s">
        <v>22</v>
      </c>
      <c r="E158" s="19" t="s">
        <v>474</v>
      </c>
      <c r="F158" s="19" t="s">
        <v>232</v>
      </c>
      <c r="G158" s="24">
        <v>1749713</v>
      </c>
      <c r="H158" s="24">
        <v>2760329</v>
      </c>
      <c r="I158" s="19">
        <v>100</v>
      </c>
      <c r="J158" s="24">
        <f t="shared" si="22"/>
        <v>0</v>
      </c>
      <c r="K158" s="36">
        <f t="shared" si="26"/>
        <v>0</v>
      </c>
      <c r="L158" s="23">
        <v>368.85245901639342</v>
      </c>
      <c r="M158" s="23" t="s">
        <v>232</v>
      </c>
      <c r="N158" s="24">
        <f t="shared" si="23"/>
        <v>0</v>
      </c>
      <c r="O158" s="24">
        <f t="shared" si="27"/>
        <v>0</v>
      </c>
      <c r="P158" s="24">
        <f t="shared" si="28"/>
        <v>0</v>
      </c>
      <c r="Q158" s="24">
        <f t="shared" si="29"/>
        <v>0</v>
      </c>
      <c r="R158" s="36">
        <f t="shared" si="30"/>
        <v>0</v>
      </c>
      <c r="S158" s="24">
        <v>36198411498.324532</v>
      </c>
      <c r="T158" s="24">
        <f t="shared" si="24"/>
        <v>542976172474.86798</v>
      </c>
      <c r="U158" s="23">
        <f t="shared" si="25"/>
        <v>0</v>
      </c>
      <c r="V158" s="23">
        <f t="shared" si="31"/>
        <v>0</v>
      </c>
      <c r="W158" s="23">
        <f t="shared" si="32"/>
        <v>0</v>
      </c>
    </row>
    <row r="159" spans="1:23" x14ac:dyDescent="0.25">
      <c r="A159" s="19" t="s">
        <v>339</v>
      </c>
      <c r="B159" s="19" t="s">
        <v>340</v>
      </c>
      <c r="C159" s="19" t="s">
        <v>18</v>
      </c>
      <c r="D159" s="19" t="s">
        <v>19</v>
      </c>
      <c r="E159" s="19" t="s">
        <v>232</v>
      </c>
      <c r="F159" s="19" t="s">
        <v>232</v>
      </c>
      <c r="G159" s="24">
        <v>20246871</v>
      </c>
      <c r="H159" s="24">
        <v>20232088</v>
      </c>
      <c r="I159" s="19" t="s">
        <v>232</v>
      </c>
      <c r="J159" s="24" t="e">
        <f t="shared" si="22"/>
        <v>#VALUE!</v>
      </c>
      <c r="K159" s="36">
        <f t="shared" si="26"/>
        <v>0</v>
      </c>
      <c r="L159" s="23" t="s">
        <v>232</v>
      </c>
      <c r="M159" s="23" t="s">
        <v>232</v>
      </c>
      <c r="N159" s="24" t="e">
        <f t="shared" si="23"/>
        <v>#VALUE!</v>
      </c>
      <c r="O159" s="24" t="e">
        <f t="shared" si="27"/>
        <v>#VALUE!</v>
      </c>
      <c r="P159" s="24" t="e">
        <f t="shared" si="28"/>
        <v>#VALUE!</v>
      </c>
      <c r="Q159" s="24" t="e">
        <f t="shared" si="29"/>
        <v>#VALUE!</v>
      </c>
      <c r="R159" s="36">
        <f t="shared" si="30"/>
        <v>0</v>
      </c>
      <c r="S159" s="24">
        <v>4151541416.0069842</v>
      </c>
      <c r="T159" s="24">
        <f t="shared" si="24"/>
        <v>62273121240.104767</v>
      </c>
      <c r="U159" s="23" t="e">
        <f t="shared" si="25"/>
        <v>#VALUE!</v>
      </c>
      <c r="V159" s="23" t="e">
        <f t="shared" si="31"/>
        <v>#VALUE!</v>
      </c>
      <c r="W159" s="23" t="e">
        <f t="shared" si="32"/>
        <v>#VALUE!</v>
      </c>
    </row>
    <row r="160" spans="1:23" x14ac:dyDescent="0.25">
      <c r="A160" s="19" t="s">
        <v>341</v>
      </c>
      <c r="B160" s="19" t="s">
        <v>342</v>
      </c>
      <c r="C160" s="19" t="s">
        <v>29</v>
      </c>
      <c r="D160" s="19" t="s">
        <v>19</v>
      </c>
      <c r="E160" s="19" t="s">
        <v>232</v>
      </c>
      <c r="F160" s="19" t="s">
        <v>472</v>
      </c>
      <c r="G160" s="24">
        <v>142385523</v>
      </c>
      <c r="H160" s="24">
        <v>133556108</v>
      </c>
      <c r="I160" s="19">
        <v>70.400000000000006</v>
      </c>
      <c r="J160" s="24">
        <f t="shared" si="22"/>
        <v>39532607.967999987</v>
      </c>
      <c r="K160" s="36">
        <f t="shared" si="26"/>
        <v>39532607.967999987</v>
      </c>
      <c r="L160" s="23">
        <v>118.39568135600364</v>
      </c>
      <c r="M160" s="23">
        <v>118.39568135600364</v>
      </c>
      <c r="N160" s="24">
        <f t="shared" si="23"/>
        <v>4680490056.1511364</v>
      </c>
      <c r="O160" s="24">
        <f t="shared" si="27"/>
        <v>377926169.58392352</v>
      </c>
      <c r="P160" s="24">
        <f t="shared" si="28"/>
        <v>566889254.37588525</v>
      </c>
      <c r="Q160" s="24">
        <f t="shared" si="29"/>
        <v>5247379310.5270214</v>
      </c>
      <c r="R160" s="36">
        <f t="shared" si="30"/>
        <v>5247379310.5270214</v>
      </c>
      <c r="S160" s="24">
        <v>321602181004.87122</v>
      </c>
      <c r="T160" s="24">
        <f t="shared" si="24"/>
        <v>4824032715073.0684</v>
      </c>
      <c r="U160" s="23">
        <f t="shared" si="25"/>
        <v>1.0877578201597127E-3</v>
      </c>
      <c r="V160" s="23">
        <f t="shared" si="31"/>
        <v>3.6258594005323758E-4</v>
      </c>
      <c r="W160" s="23">
        <f t="shared" si="32"/>
        <v>3.263273460479138E-3</v>
      </c>
    </row>
    <row r="161" spans="1:23" x14ac:dyDescent="0.25">
      <c r="A161" s="19" t="s">
        <v>343</v>
      </c>
      <c r="B161" s="19" t="s">
        <v>344</v>
      </c>
      <c r="C161" s="19" t="s">
        <v>14</v>
      </c>
      <c r="D161" s="19" t="s">
        <v>32</v>
      </c>
      <c r="E161" s="19" t="s">
        <v>467</v>
      </c>
      <c r="F161" s="19" t="s">
        <v>232</v>
      </c>
      <c r="G161" s="24">
        <v>10836732</v>
      </c>
      <c r="H161" s="24">
        <v>17771249</v>
      </c>
      <c r="I161" s="19">
        <v>61.2</v>
      </c>
      <c r="J161" s="24">
        <f t="shared" si="22"/>
        <v>6895244.6120000007</v>
      </c>
      <c r="K161" s="36">
        <f t="shared" si="26"/>
        <v>6895244.6120000007</v>
      </c>
      <c r="L161" s="23">
        <v>110.63478977741137</v>
      </c>
      <c r="M161" s="23" t="s">
        <v>232</v>
      </c>
      <c r="N161" s="24">
        <f t="shared" si="23"/>
        <v>762853938.11244845</v>
      </c>
      <c r="O161" s="24">
        <f t="shared" si="27"/>
        <v>61596641.232889645</v>
      </c>
      <c r="P161" s="24">
        <f t="shared" si="28"/>
        <v>92394961.849334478</v>
      </c>
      <c r="Q161" s="24">
        <f t="shared" si="29"/>
        <v>855248899.96178293</v>
      </c>
      <c r="R161" s="36">
        <f t="shared" si="30"/>
        <v>855248899.96178293</v>
      </c>
      <c r="S161" s="24">
        <v>374942592.12015301</v>
      </c>
      <c r="T161" s="24">
        <f t="shared" si="24"/>
        <v>5624138881.8022947</v>
      </c>
      <c r="U161" s="23">
        <f t="shared" si="25"/>
        <v>0.15206752854718134</v>
      </c>
      <c r="V161" s="23">
        <f t="shared" si="31"/>
        <v>5.0689176182393776E-2</v>
      </c>
      <c r="W161" s="23">
        <f t="shared" si="32"/>
        <v>0.45620258564154398</v>
      </c>
    </row>
    <row r="162" spans="1:23" x14ac:dyDescent="0.25">
      <c r="A162" s="19" t="s">
        <v>345</v>
      </c>
      <c r="B162" s="19" t="s">
        <v>346</v>
      </c>
      <c r="C162" s="19" t="s">
        <v>40</v>
      </c>
      <c r="D162" s="19" t="s">
        <v>26</v>
      </c>
      <c r="E162" s="19" t="s">
        <v>473</v>
      </c>
      <c r="F162" s="19" t="s">
        <v>232</v>
      </c>
      <c r="G162" s="24">
        <v>186029</v>
      </c>
      <c r="H162" s="24">
        <v>211105</v>
      </c>
      <c r="I162" s="19">
        <v>91.7</v>
      </c>
      <c r="J162" s="24">
        <f t="shared" si="22"/>
        <v>17521.714999999993</v>
      </c>
      <c r="K162" s="36">
        <f t="shared" si="26"/>
        <v>17521.714999999993</v>
      </c>
      <c r="L162" s="23">
        <v>250</v>
      </c>
      <c r="M162" s="23" t="s">
        <v>232</v>
      </c>
      <c r="N162" s="24">
        <f t="shared" si="23"/>
        <v>4380428.7499999981</v>
      </c>
      <c r="O162" s="24">
        <f t="shared" si="27"/>
        <v>353697.71941874985</v>
      </c>
      <c r="P162" s="24">
        <f t="shared" si="28"/>
        <v>530546.57912812475</v>
      </c>
      <c r="Q162" s="24">
        <f t="shared" si="29"/>
        <v>4910975.3291281229</v>
      </c>
      <c r="R162" s="36">
        <f t="shared" si="30"/>
        <v>4910975.3291281229</v>
      </c>
      <c r="S162" s="24">
        <v>4184944.6022272655</v>
      </c>
      <c r="T162" s="24">
        <f t="shared" si="24"/>
        <v>62774169.033408985</v>
      </c>
      <c r="U162" s="23">
        <f t="shared" si="25"/>
        <v>7.8232422742457286E-2</v>
      </c>
      <c r="V162" s="23">
        <f t="shared" si="31"/>
        <v>2.6077474247485764E-2</v>
      </c>
      <c r="W162" s="23">
        <f t="shared" si="32"/>
        <v>0.23469726822737183</v>
      </c>
    </row>
    <row r="163" spans="1:23" x14ac:dyDescent="0.25">
      <c r="A163" s="19" t="s">
        <v>347</v>
      </c>
      <c r="B163" s="19" t="s">
        <v>348</v>
      </c>
      <c r="C163" s="19" t="s">
        <v>29</v>
      </c>
      <c r="D163" s="19" t="s">
        <v>19</v>
      </c>
      <c r="E163" s="19" t="s">
        <v>232</v>
      </c>
      <c r="F163" s="19" t="s">
        <v>232</v>
      </c>
      <c r="G163" s="24">
        <v>30861</v>
      </c>
      <c r="H163" s="24">
        <v>33108</v>
      </c>
      <c r="I163" s="19" t="s">
        <v>232</v>
      </c>
      <c r="J163" s="24" t="e">
        <f t="shared" si="22"/>
        <v>#VALUE!</v>
      </c>
      <c r="K163" s="36">
        <f t="shared" si="26"/>
        <v>0</v>
      </c>
      <c r="L163" s="23" t="s">
        <v>232</v>
      </c>
      <c r="M163" s="23" t="s">
        <v>232</v>
      </c>
      <c r="N163" s="24" t="e">
        <f t="shared" si="23"/>
        <v>#VALUE!</v>
      </c>
      <c r="O163" s="24" t="e">
        <f t="shared" si="27"/>
        <v>#VALUE!</v>
      </c>
      <c r="P163" s="24" t="e">
        <f t="shared" si="28"/>
        <v>#VALUE!</v>
      </c>
      <c r="Q163" s="24" t="e">
        <f t="shared" si="29"/>
        <v>#VALUE!</v>
      </c>
      <c r="R163" s="36">
        <f t="shared" si="30"/>
        <v>0</v>
      </c>
      <c r="S163" s="24" t="s">
        <v>232</v>
      </c>
      <c r="T163" s="24" t="e">
        <f t="shared" si="24"/>
        <v>#VALUE!</v>
      </c>
      <c r="U163" s="23" t="e">
        <f t="shared" si="25"/>
        <v>#VALUE!</v>
      </c>
      <c r="V163" s="23" t="e">
        <f t="shared" si="31"/>
        <v>#VALUE!</v>
      </c>
      <c r="W163" s="23" t="e">
        <f t="shared" si="32"/>
        <v>#VALUE!</v>
      </c>
    </row>
    <row r="164" spans="1:23" x14ac:dyDescent="0.25">
      <c r="A164" s="19" t="s">
        <v>349</v>
      </c>
      <c r="B164" s="19" t="s">
        <v>350</v>
      </c>
      <c r="C164" s="19" t="s">
        <v>40</v>
      </c>
      <c r="D164" s="19" t="s">
        <v>32</v>
      </c>
      <c r="E164" s="19" t="s">
        <v>467</v>
      </c>
      <c r="F164" s="19" t="s">
        <v>232</v>
      </c>
      <c r="G164" s="24">
        <v>178228</v>
      </c>
      <c r="H164" s="24">
        <v>278192</v>
      </c>
      <c r="I164" s="19">
        <v>33.1</v>
      </c>
      <c r="J164" s="24">
        <f t="shared" si="22"/>
        <v>186110.448</v>
      </c>
      <c r="K164" s="36">
        <f t="shared" si="26"/>
        <v>186110.448</v>
      </c>
      <c r="L164" s="23">
        <v>133.83254909236055</v>
      </c>
      <c r="M164" s="23">
        <v>133.83254909236055</v>
      </c>
      <c r="N164" s="24">
        <f t="shared" si="23"/>
        <v>24907635.668561216</v>
      </c>
      <c r="O164" s="24">
        <f t="shared" si="27"/>
        <v>2011167.0420579754</v>
      </c>
      <c r="P164" s="24">
        <f t="shared" si="28"/>
        <v>3016750.5630869633</v>
      </c>
      <c r="Q164" s="24">
        <f t="shared" si="29"/>
        <v>27924386.231648181</v>
      </c>
      <c r="R164" s="36">
        <f t="shared" si="30"/>
        <v>27924386.231648181</v>
      </c>
      <c r="S164" s="24">
        <v>6448878.1292010797</v>
      </c>
      <c r="T164" s="24">
        <f t="shared" si="24"/>
        <v>96733171.938016191</v>
      </c>
      <c r="U164" s="23">
        <f t="shared" si="25"/>
        <v>0.28867435722609525</v>
      </c>
      <c r="V164" s="23">
        <f t="shared" si="31"/>
        <v>9.6224785742031749E-2</v>
      </c>
      <c r="W164" s="23">
        <f t="shared" si="32"/>
        <v>0.86602307167828585</v>
      </c>
    </row>
    <row r="165" spans="1:23" x14ac:dyDescent="0.25">
      <c r="A165" s="19" t="s">
        <v>351</v>
      </c>
      <c r="B165" s="19" t="s">
        <v>352</v>
      </c>
      <c r="C165" s="19" t="s">
        <v>29</v>
      </c>
      <c r="D165" s="19" t="s">
        <v>22</v>
      </c>
      <c r="E165" s="19" t="s">
        <v>474</v>
      </c>
      <c r="F165" s="19" t="s">
        <v>232</v>
      </c>
      <c r="G165" s="24">
        <v>27258387</v>
      </c>
      <c r="H165" s="24">
        <v>35634201</v>
      </c>
      <c r="I165" s="19">
        <v>100</v>
      </c>
      <c r="J165" s="24">
        <f t="shared" si="22"/>
        <v>0</v>
      </c>
      <c r="K165" s="36">
        <f t="shared" si="26"/>
        <v>0</v>
      </c>
      <c r="L165" s="23">
        <v>266.84034238928172</v>
      </c>
      <c r="M165" s="23" t="s">
        <v>232</v>
      </c>
      <c r="N165" s="24">
        <f t="shared" si="23"/>
        <v>0</v>
      </c>
      <c r="O165" s="24">
        <f t="shared" si="27"/>
        <v>0</v>
      </c>
      <c r="P165" s="24">
        <f t="shared" si="28"/>
        <v>0</v>
      </c>
      <c r="Q165" s="24">
        <f t="shared" si="29"/>
        <v>0</v>
      </c>
      <c r="R165" s="36">
        <f t="shared" si="30"/>
        <v>0</v>
      </c>
      <c r="S165" s="24">
        <v>227429658719.18033</v>
      </c>
      <c r="T165" s="24">
        <f t="shared" si="24"/>
        <v>3411444880787.7051</v>
      </c>
      <c r="U165" s="23">
        <f t="shared" si="25"/>
        <v>0</v>
      </c>
      <c r="V165" s="23">
        <f t="shared" si="31"/>
        <v>0</v>
      </c>
      <c r="W165" s="23">
        <f t="shared" si="32"/>
        <v>0</v>
      </c>
    </row>
    <row r="166" spans="1:23" x14ac:dyDescent="0.25">
      <c r="A166" s="19" t="s">
        <v>353</v>
      </c>
      <c r="B166" s="19" t="s">
        <v>354</v>
      </c>
      <c r="C166" s="19" t="s">
        <v>40</v>
      </c>
      <c r="D166" s="19" t="s">
        <v>32</v>
      </c>
      <c r="E166" s="19" t="s">
        <v>467</v>
      </c>
      <c r="F166" s="19" t="s">
        <v>232</v>
      </c>
      <c r="G166" s="24">
        <v>12950564</v>
      </c>
      <c r="H166" s="24">
        <v>21855703</v>
      </c>
      <c r="I166" s="19">
        <v>50.3</v>
      </c>
      <c r="J166" s="24">
        <f t="shared" si="22"/>
        <v>10862284.391000001</v>
      </c>
      <c r="K166" s="36">
        <f t="shared" si="26"/>
        <v>10862284.391000001</v>
      </c>
      <c r="L166" s="23">
        <v>55.384615384615387</v>
      </c>
      <c r="M166" s="23" t="s">
        <v>232</v>
      </c>
      <c r="N166" s="24">
        <f t="shared" si="23"/>
        <v>601603443.19384623</v>
      </c>
      <c r="O166" s="24">
        <f t="shared" si="27"/>
        <v>48576470.020687111</v>
      </c>
      <c r="P166" s="24">
        <f t="shared" si="28"/>
        <v>72864705.03103067</v>
      </c>
      <c r="Q166" s="24">
        <f t="shared" si="29"/>
        <v>674468148.22487688</v>
      </c>
      <c r="R166" s="36">
        <f t="shared" si="30"/>
        <v>674468148.22487688</v>
      </c>
      <c r="S166" s="24">
        <v>551591058.22012687</v>
      </c>
      <c r="T166" s="24">
        <f t="shared" si="24"/>
        <v>8273865873.3019028</v>
      </c>
      <c r="U166" s="23">
        <f t="shared" si="25"/>
        <v>8.151789726266287E-2</v>
      </c>
      <c r="V166" s="23">
        <f t="shared" si="31"/>
        <v>2.7172632420887622E-2</v>
      </c>
      <c r="W166" s="23">
        <f t="shared" si="32"/>
        <v>0.24455369178798861</v>
      </c>
    </row>
    <row r="167" spans="1:23" x14ac:dyDescent="0.25">
      <c r="A167" s="19" t="s">
        <v>355</v>
      </c>
      <c r="B167" s="19" t="s">
        <v>356</v>
      </c>
      <c r="C167" s="19" t="s">
        <v>18</v>
      </c>
      <c r="D167" s="19" t="s">
        <v>19</v>
      </c>
      <c r="E167" s="19" t="s">
        <v>232</v>
      </c>
      <c r="F167" s="19" t="s">
        <v>471</v>
      </c>
      <c r="G167" s="24">
        <v>7291436</v>
      </c>
      <c r="H167" s="24">
        <v>8582256</v>
      </c>
      <c r="I167" s="19">
        <v>97.1</v>
      </c>
      <c r="J167" s="24">
        <f t="shared" si="22"/>
        <v>248885.42400000023</v>
      </c>
      <c r="K167" s="36">
        <f t="shared" si="26"/>
        <v>248885.42400000023</v>
      </c>
      <c r="L167" s="23">
        <v>76.733547934264351</v>
      </c>
      <c r="M167" s="23">
        <v>76.733547934264351</v>
      </c>
      <c r="N167" s="24">
        <f t="shared" si="23"/>
        <v>19097861.612643726</v>
      </c>
      <c r="O167" s="24">
        <f t="shared" si="27"/>
        <v>1542056.8359129175</v>
      </c>
      <c r="P167" s="24">
        <f t="shared" si="28"/>
        <v>2313085.2538693761</v>
      </c>
      <c r="Q167" s="24">
        <f t="shared" si="29"/>
        <v>21410946.866513103</v>
      </c>
      <c r="R167" s="36">
        <f t="shared" si="30"/>
        <v>21410946.866513103</v>
      </c>
      <c r="S167" s="24">
        <v>1253506714.6213751</v>
      </c>
      <c r="T167" s="24">
        <f t="shared" si="24"/>
        <v>18802600719.320625</v>
      </c>
      <c r="U167" s="23">
        <f t="shared" si="25"/>
        <v>1.1387226259882374E-3</v>
      </c>
      <c r="V167" s="23">
        <f t="shared" si="31"/>
        <v>3.7957420866274581E-4</v>
      </c>
      <c r="W167" s="23">
        <f t="shared" si="32"/>
        <v>3.4161678779647121E-3</v>
      </c>
    </row>
    <row r="168" spans="1:23" x14ac:dyDescent="0.25">
      <c r="A168" s="19" t="s">
        <v>357</v>
      </c>
      <c r="B168" s="19" t="s">
        <v>358</v>
      </c>
      <c r="C168" s="19" t="s">
        <v>18</v>
      </c>
      <c r="D168" s="19" t="s">
        <v>32</v>
      </c>
      <c r="E168" s="19" t="s">
        <v>467</v>
      </c>
      <c r="F168" s="19" t="s">
        <v>232</v>
      </c>
      <c r="G168" s="24">
        <v>89770</v>
      </c>
      <c r="H168" s="24">
        <v>98416</v>
      </c>
      <c r="I168" s="19">
        <v>97.1</v>
      </c>
      <c r="J168" s="24">
        <f t="shared" si="22"/>
        <v>2854.0640000000026</v>
      </c>
      <c r="K168" s="36">
        <f t="shared" si="26"/>
        <v>2854.0640000000026</v>
      </c>
      <c r="L168" s="23">
        <v>133.83254909236055</v>
      </c>
      <c r="M168" s="23">
        <v>133.83254909236055</v>
      </c>
      <c r="N168" s="24">
        <f t="shared" si="23"/>
        <v>381966.66039273929</v>
      </c>
      <c r="O168" s="24">
        <f t="shared" si="27"/>
        <v>30841.897993411734</v>
      </c>
      <c r="P168" s="24">
        <f t="shared" si="28"/>
        <v>46262.846990117599</v>
      </c>
      <c r="Q168" s="24">
        <f t="shared" si="29"/>
        <v>428229.50738285691</v>
      </c>
      <c r="R168" s="36">
        <f t="shared" si="30"/>
        <v>428229.50738285691</v>
      </c>
      <c r="S168" s="24">
        <v>1160995.7542812461</v>
      </c>
      <c r="T168" s="24">
        <f t="shared" si="24"/>
        <v>17414936.314218692</v>
      </c>
      <c r="U168" s="23">
        <f t="shared" si="25"/>
        <v>2.4589783141108726E-2</v>
      </c>
      <c r="V168" s="23">
        <f t="shared" si="31"/>
        <v>8.1965943803695741E-3</v>
      </c>
      <c r="W168" s="23">
        <f t="shared" si="32"/>
        <v>7.3769349423326178E-2</v>
      </c>
    </row>
    <row r="169" spans="1:23" x14ac:dyDescent="0.25">
      <c r="A169" s="19" t="s">
        <v>359</v>
      </c>
      <c r="B169" s="19" t="s">
        <v>360</v>
      </c>
      <c r="C169" s="19" t="s">
        <v>14</v>
      </c>
      <c r="D169" s="19" t="s">
        <v>32</v>
      </c>
      <c r="E169" s="19" t="s">
        <v>467</v>
      </c>
      <c r="F169" s="19" t="s">
        <v>232</v>
      </c>
      <c r="G169" s="24">
        <v>5751976</v>
      </c>
      <c r="H169" s="24">
        <v>8057580</v>
      </c>
      <c r="I169" s="19">
        <v>12.8</v>
      </c>
      <c r="J169" s="24">
        <f t="shared" si="22"/>
        <v>7026209.7599999998</v>
      </c>
      <c r="K169" s="36">
        <f t="shared" si="26"/>
        <v>7026209.7599999998</v>
      </c>
      <c r="L169" s="23">
        <v>125.98695502917954</v>
      </c>
      <c r="M169" s="23" t="s">
        <v>232</v>
      </c>
      <c r="N169" s="24">
        <f t="shared" si="23"/>
        <v>885210773.05870235</v>
      </c>
      <c r="O169" s="24">
        <f t="shared" si="27"/>
        <v>71476343.870624915</v>
      </c>
      <c r="P169" s="24">
        <f t="shared" si="28"/>
        <v>107214515.80593738</v>
      </c>
      <c r="Q169" s="24">
        <f t="shared" si="29"/>
        <v>992425288.86463976</v>
      </c>
      <c r="R169" s="36">
        <f t="shared" si="30"/>
        <v>992425288.86463976</v>
      </c>
      <c r="S169" s="24">
        <v>309951994.2008189</v>
      </c>
      <c r="T169" s="24">
        <f t="shared" si="24"/>
        <v>4649279913.0122833</v>
      </c>
      <c r="U169" s="23">
        <f t="shared" si="25"/>
        <v>0.21345784883527141</v>
      </c>
      <c r="V169" s="23">
        <f t="shared" si="31"/>
        <v>7.11526162784238E-2</v>
      </c>
      <c r="W169" s="23">
        <f t="shared" si="32"/>
        <v>0.64037354650581424</v>
      </c>
    </row>
    <row r="170" spans="1:23" x14ac:dyDescent="0.25">
      <c r="A170" s="19" t="s">
        <v>361</v>
      </c>
      <c r="B170" s="19" t="s">
        <v>362</v>
      </c>
      <c r="C170" s="19" t="s">
        <v>29</v>
      </c>
      <c r="D170" s="19" t="s">
        <v>26</v>
      </c>
      <c r="E170" s="19" t="s">
        <v>471</v>
      </c>
      <c r="F170" s="19" t="s">
        <v>232</v>
      </c>
      <c r="G170" s="24">
        <v>5076700</v>
      </c>
      <c r="H170" s="24">
        <v>6577884</v>
      </c>
      <c r="I170" s="19">
        <v>100</v>
      </c>
      <c r="J170" s="24">
        <f t="shared" si="22"/>
        <v>0</v>
      </c>
      <c r="K170" s="36">
        <f t="shared" si="26"/>
        <v>0</v>
      </c>
      <c r="L170" s="23">
        <v>373.87387387387389</v>
      </c>
      <c r="M170" s="23" t="s">
        <v>232</v>
      </c>
      <c r="N170" s="24">
        <f t="shared" si="23"/>
        <v>0</v>
      </c>
      <c r="O170" s="24">
        <f t="shared" si="27"/>
        <v>0</v>
      </c>
      <c r="P170" s="24">
        <f t="shared" si="28"/>
        <v>0</v>
      </c>
      <c r="Q170" s="24">
        <f t="shared" si="29"/>
        <v>0</v>
      </c>
      <c r="R170" s="36">
        <f t="shared" si="30"/>
        <v>0</v>
      </c>
      <c r="S170" s="24">
        <v>0</v>
      </c>
      <c r="T170" s="24">
        <f t="shared" si="24"/>
        <v>0</v>
      </c>
      <c r="U170" s="23" t="e">
        <f t="shared" si="25"/>
        <v>#DIV/0!</v>
      </c>
      <c r="V170" s="23" t="e">
        <f t="shared" si="31"/>
        <v>#DIV/0!</v>
      </c>
      <c r="W170" s="23" t="e">
        <f t="shared" si="32"/>
        <v>#DIV/0!</v>
      </c>
    </row>
    <row r="171" spans="1:23" x14ac:dyDescent="0.25">
      <c r="A171" s="19" t="s">
        <v>363</v>
      </c>
      <c r="B171" s="19" t="s">
        <v>364</v>
      </c>
      <c r="C171" s="19" t="s">
        <v>29</v>
      </c>
      <c r="D171" s="19" t="s">
        <v>35</v>
      </c>
      <c r="E171" s="19" t="s">
        <v>468</v>
      </c>
      <c r="F171" s="19" t="s">
        <v>232</v>
      </c>
      <c r="G171" s="24">
        <v>37850</v>
      </c>
      <c r="H171" s="24">
        <v>56791</v>
      </c>
      <c r="I171" s="19" t="s">
        <v>232</v>
      </c>
      <c r="J171" s="24" t="e">
        <f t="shared" si="22"/>
        <v>#VALUE!</v>
      </c>
      <c r="K171" s="36">
        <f t="shared" si="26"/>
        <v>0</v>
      </c>
      <c r="L171" s="23" t="s">
        <v>232</v>
      </c>
      <c r="M171" s="23" t="s">
        <v>232</v>
      </c>
      <c r="N171" s="24" t="e">
        <f t="shared" si="23"/>
        <v>#VALUE!</v>
      </c>
      <c r="O171" s="24" t="e">
        <f t="shared" si="27"/>
        <v>#VALUE!</v>
      </c>
      <c r="P171" s="24" t="e">
        <f t="shared" si="28"/>
        <v>#VALUE!</v>
      </c>
      <c r="Q171" s="24" t="e">
        <f t="shared" si="29"/>
        <v>#VALUE!</v>
      </c>
      <c r="R171" s="36">
        <f t="shared" si="30"/>
        <v>0</v>
      </c>
      <c r="S171" s="24" t="s">
        <v>232</v>
      </c>
      <c r="T171" s="24" t="e">
        <f t="shared" si="24"/>
        <v>#VALUE!</v>
      </c>
      <c r="U171" s="23" t="e">
        <f t="shared" si="25"/>
        <v>#VALUE!</v>
      </c>
      <c r="V171" s="23" t="e">
        <f t="shared" si="31"/>
        <v>#VALUE!</v>
      </c>
      <c r="W171" s="23" t="e">
        <f t="shared" si="32"/>
        <v>#VALUE!</v>
      </c>
    </row>
    <row r="172" spans="1:23" x14ac:dyDescent="0.25">
      <c r="A172" s="19" t="s">
        <v>365</v>
      </c>
      <c r="B172" s="19" t="s">
        <v>366</v>
      </c>
      <c r="C172" s="19" t="s">
        <v>45</v>
      </c>
      <c r="D172" s="19" t="s">
        <v>19</v>
      </c>
      <c r="E172" s="19" t="s">
        <v>232</v>
      </c>
      <c r="F172" s="19" t="s">
        <v>232</v>
      </c>
      <c r="G172" s="24">
        <v>5391428</v>
      </c>
      <c r="H172" s="24">
        <v>5395535</v>
      </c>
      <c r="I172" s="19">
        <v>99.7</v>
      </c>
      <c r="J172" s="24">
        <f t="shared" si="22"/>
        <v>16186.605000000014</v>
      </c>
      <c r="K172" s="36">
        <f t="shared" si="26"/>
        <v>16186.605000000014</v>
      </c>
      <c r="L172" s="23" t="s">
        <v>232</v>
      </c>
      <c r="M172" s="23" t="s">
        <v>232</v>
      </c>
      <c r="N172" s="24" t="e">
        <f t="shared" si="23"/>
        <v>#VALUE!</v>
      </c>
      <c r="O172" s="24" t="e">
        <f t="shared" si="27"/>
        <v>#VALUE!</v>
      </c>
      <c r="P172" s="24" t="e">
        <f t="shared" si="28"/>
        <v>#VALUE!</v>
      </c>
      <c r="Q172" s="24" t="e">
        <f t="shared" si="29"/>
        <v>#VALUE!</v>
      </c>
      <c r="R172" s="36">
        <f t="shared" si="30"/>
        <v>0</v>
      </c>
      <c r="S172" s="24">
        <v>586207377.22308779</v>
      </c>
      <c r="T172" s="24">
        <f t="shared" si="24"/>
        <v>8793110658.3463173</v>
      </c>
      <c r="U172" s="23" t="e">
        <f t="shared" si="25"/>
        <v>#VALUE!</v>
      </c>
      <c r="V172" s="23" t="e">
        <f t="shared" si="31"/>
        <v>#VALUE!</v>
      </c>
      <c r="W172" s="23" t="e">
        <f t="shared" si="32"/>
        <v>#VALUE!</v>
      </c>
    </row>
    <row r="173" spans="1:23" x14ac:dyDescent="0.25">
      <c r="A173" s="19" t="s">
        <v>367</v>
      </c>
      <c r="B173" s="19" t="s">
        <v>368</v>
      </c>
      <c r="C173" s="19" t="s">
        <v>45</v>
      </c>
      <c r="D173" s="19" t="s">
        <v>19</v>
      </c>
      <c r="E173" s="19" t="s">
        <v>232</v>
      </c>
      <c r="F173" s="19" t="s">
        <v>232</v>
      </c>
      <c r="G173" s="24">
        <v>2048583</v>
      </c>
      <c r="H173" s="24">
        <v>2086065.9999999998</v>
      </c>
      <c r="I173" s="19">
        <v>100</v>
      </c>
      <c r="J173" s="24">
        <f t="shared" si="22"/>
        <v>0</v>
      </c>
      <c r="K173" s="36">
        <f t="shared" si="26"/>
        <v>0</v>
      </c>
      <c r="L173" s="23" t="s">
        <v>232</v>
      </c>
      <c r="M173" s="23" t="s">
        <v>232</v>
      </c>
      <c r="N173" s="24" t="e">
        <f t="shared" si="23"/>
        <v>#VALUE!</v>
      </c>
      <c r="O173" s="24" t="e">
        <f t="shared" si="27"/>
        <v>#VALUE!</v>
      </c>
      <c r="P173" s="24" t="e">
        <f t="shared" si="28"/>
        <v>#VALUE!</v>
      </c>
      <c r="Q173" s="24" t="e">
        <f t="shared" si="29"/>
        <v>#VALUE!</v>
      </c>
      <c r="R173" s="36">
        <f t="shared" si="30"/>
        <v>0</v>
      </c>
      <c r="S173" s="24">
        <v>179102965.90790325</v>
      </c>
      <c r="T173" s="24">
        <f t="shared" si="24"/>
        <v>2686544488.6185489</v>
      </c>
      <c r="U173" s="23" t="e">
        <f t="shared" si="25"/>
        <v>#VALUE!</v>
      </c>
      <c r="V173" s="23" t="e">
        <f t="shared" si="31"/>
        <v>#VALUE!</v>
      </c>
      <c r="W173" s="23" t="e">
        <f t="shared" si="32"/>
        <v>#VALUE!</v>
      </c>
    </row>
    <row r="174" spans="1:23" x14ac:dyDescent="0.25">
      <c r="A174" s="19" t="s">
        <v>369</v>
      </c>
      <c r="B174" s="19" t="s">
        <v>370</v>
      </c>
      <c r="C174" s="19" t="s">
        <v>40</v>
      </c>
      <c r="D174" s="19" t="s">
        <v>26</v>
      </c>
      <c r="E174" s="19" t="s">
        <v>473</v>
      </c>
      <c r="F174" s="19" t="s">
        <v>232</v>
      </c>
      <c r="G174" s="24">
        <v>526447</v>
      </c>
      <c r="H174" s="24">
        <v>764146</v>
      </c>
      <c r="I174" s="19">
        <v>28.2</v>
      </c>
      <c r="J174" s="24">
        <f t="shared" si="22"/>
        <v>548656.82799999998</v>
      </c>
      <c r="K174" s="36">
        <f t="shared" si="26"/>
        <v>548656.82799999998</v>
      </c>
      <c r="L174" s="23">
        <v>85.308056872037909</v>
      </c>
      <c r="M174" s="23" t="s">
        <v>232</v>
      </c>
      <c r="N174" s="24">
        <f t="shared" si="23"/>
        <v>46804847.88625592</v>
      </c>
      <c r="O174" s="24">
        <f t="shared" si="27"/>
        <v>3779257.4425757341</v>
      </c>
      <c r="P174" s="24">
        <f t="shared" si="28"/>
        <v>5668886.1638636012</v>
      </c>
      <c r="Q174" s="24">
        <f t="shared" si="29"/>
        <v>52473734.050119519</v>
      </c>
      <c r="R174" s="36">
        <f t="shared" si="30"/>
        <v>52473734.050119519</v>
      </c>
      <c r="S174" s="24">
        <v>177911447.47763148</v>
      </c>
      <c r="T174" s="24">
        <f t="shared" si="24"/>
        <v>2668671712.1644721</v>
      </c>
      <c r="U174" s="23">
        <f t="shared" si="25"/>
        <v>1.9662865916002758E-2</v>
      </c>
      <c r="V174" s="23">
        <f t="shared" si="31"/>
        <v>6.554288638667586E-3</v>
      </c>
      <c r="W174" s="23">
        <f t="shared" si="32"/>
        <v>5.898859774800827E-2</v>
      </c>
    </row>
    <row r="175" spans="1:23" x14ac:dyDescent="0.25">
      <c r="A175" s="19" t="s">
        <v>371</v>
      </c>
      <c r="B175" s="19" t="s">
        <v>372</v>
      </c>
      <c r="C175" s="19" t="s">
        <v>14</v>
      </c>
      <c r="D175" s="19" t="s">
        <v>32</v>
      </c>
      <c r="E175" s="19" t="s">
        <v>467</v>
      </c>
      <c r="F175" s="19" t="s">
        <v>232</v>
      </c>
      <c r="G175" s="24">
        <v>9636173</v>
      </c>
      <c r="H175" s="24">
        <v>16880129</v>
      </c>
      <c r="I175" s="19">
        <v>23.4</v>
      </c>
      <c r="J175" s="24">
        <f t="shared" si="22"/>
        <v>12930178.813999999</v>
      </c>
      <c r="K175" s="36">
        <f t="shared" si="26"/>
        <v>12930178.813999999</v>
      </c>
      <c r="L175" s="23">
        <v>70.577237672353348</v>
      </c>
      <c r="M175" s="23" t="s">
        <v>232</v>
      </c>
      <c r="N175" s="24">
        <f t="shared" si="23"/>
        <v>912576303.30170584</v>
      </c>
      <c r="O175" s="24">
        <f t="shared" si="27"/>
        <v>73685973.610096231</v>
      </c>
      <c r="P175" s="24">
        <f t="shared" si="28"/>
        <v>110528960.41514434</v>
      </c>
      <c r="Q175" s="24">
        <f t="shared" si="29"/>
        <v>1023105263.7168502</v>
      </c>
      <c r="R175" s="36">
        <f t="shared" si="30"/>
        <v>1023105263.7168502</v>
      </c>
      <c r="S175" s="24" t="s">
        <v>232</v>
      </c>
      <c r="T175" s="24" t="e">
        <f t="shared" si="24"/>
        <v>#VALUE!</v>
      </c>
      <c r="U175" s="23" t="e">
        <f t="shared" si="25"/>
        <v>#VALUE!</v>
      </c>
      <c r="V175" s="23" t="e">
        <f t="shared" si="31"/>
        <v>#VALUE!</v>
      </c>
      <c r="W175" s="23" t="e">
        <f t="shared" si="32"/>
        <v>#VALUE!</v>
      </c>
    </row>
    <row r="176" spans="1:23" x14ac:dyDescent="0.25">
      <c r="A176" s="19" t="s">
        <v>373</v>
      </c>
      <c r="B176" s="19" t="s">
        <v>374</v>
      </c>
      <c r="C176" s="19" t="s">
        <v>18</v>
      </c>
      <c r="D176" s="19" t="s">
        <v>32</v>
      </c>
      <c r="E176" s="19" t="s">
        <v>467</v>
      </c>
      <c r="F176" s="19" t="s">
        <v>232</v>
      </c>
      <c r="G176" s="24">
        <v>50895698</v>
      </c>
      <c r="H176" s="24">
        <v>58095501</v>
      </c>
      <c r="I176" s="19">
        <v>73</v>
      </c>
      <c r="J176" s="24">
        <f t="shared" si="22"/>
        <v>15685785.270000001</v>
      </c>
      <c r="K176" s="36">
        <f t="shared" si="26"/>
        <v>15685785.270000001</v>
      </c>
      <c r="L176" s="23">
        <v>333.05404273146206</v>
      </c>
      <c r="M176" s="23" t="s">
        <v>232</v>
      </c>
      <c r="N176" s="24">
        <f t="shared" si="23"/>
        <v>5224214197.5911188</v>
      </c>
      <c r="O176" s="24">
        <f t="shared" si="27"/>
        <v>421829175.3844949</v>
      </c>
      <c r="P176" s="24">
        <f t="shared" si="28"/>
        <v>632743763.07674229</v>
      </c>
      <c r="Q176" s="24">
        <f t="shared" si="29"/>
        <v>5856957960.667861</v>
      </c>
      <c r="R176" s="36">
        <f t="shared" si="30"/>
        <v>5856957960.667861</v>
      </c>
      <c r="S176" s="24">
        <v>29273625097.571095</v>
      </c>
      <c r="T176" s="24">
        <f t="shared" si="24"/>
        <v>439104376463.56641</v>
      </c>
      <c r="U176" s="23">
        <f t="shared" si="25"/>
        <v>1.3338418550592214E-2</v>
      </c>
      <c r="V176" s="23">
        <f t="shared" si="31"/>
        <v>4.4461395168640715E-3</v>
      </c>
      <c r="W176" s="23">
        <f t="shared" si="32"/>
        <v>4.0015255651776639E-2</v>
      </c>
    </row>
    <row r="177" spans="1:23" s="31" customFormat="1" x14ac:dyDescent="0.25">
      <c r="A177" s="31" t="s">
        <v>375</v>
      </c>
      <c r="B177" s="31" t="s">
        <v>376</v>
      </c>
      <c r="C177" s="31" t="s">
        <v>14</v>
      </c>
      <c r="D177" s="31" t="s">
        <v>32</v>
      </c>
      <c r="E177" s="31" t="s">
        <v>467</v>
      </c>
      <c r="F177" s="19" t="s">
        <v>232</v>
      </c>
      <c r="G177" s="30">
        <v>9940929</v>
      </c>
      <c r="H177" s="30">
        <v>17296842</v>
      </c>
      <c r="I177" s="19" t="s">
        <v>232</v>
      </c>
      <c r="J177" s="24" t="e">
        <f t="shared" si="22"/>
        <v>#VALUE!</v>
      </c>
      <c r="K177" s="36">
        <f t="shared" si="26"/>
        <v>0</v>
      </c>
      <c r="L177" s="23" t="s">
        <v>232</v>
      </c>
      <c r="M177" s="23" t="s">
        <v>232</v>
      </c>
      <c r="N177" s="24" t="e">
        <f t="shared" si="23"/>
        <v>#VALUE!</v>
      </c>
      <c r="O177" s="24" t="e">
        <f t="shared" si="27"/>
        <v>#VALUE!</v>
      </c>
      <c r="P177" s="24" t="e">
        <f t="shared" si="28"/>
        <v>#VALUE!</v>
      </c>
      <c r="Q177" s="24" t="e">
        <f t="shared" si="29"/>
        <v>#VALUE!</v>
      </c>
      <c r="R177" s="36">
        <f t="shared" si="30"/>
        <v>0</v>
      </c>
      <c r="S177" s="30">
        <v>0</v>
      </c>
      <c r="T177" s="24">
        <f t="shared" si="24"/>
        <v>0</v>
      </c>
      <c r="U177" s="23" t="e">
        <f t="shared" si="25"/>
        <v>#VALUE!</v>
      </c>
      <c r="V177" s="23" t="e">
        <f t="shared" si="31"/>
        <v>#VALUE!</v>
      </c>
      <c r="W177" s="23" t="e">
        <f t="shared" si="32"/>
        <v>#VALUE!</v>
      </c>
    </row>
    <row r="178" spans="1:23" x14ac:dyDescent="0.25">
      <c r="A178" s="19" t="s">
        <v>377</v>
      </c>
      <c r="B178" s="19" t="s">
        <v>378</v>
      </c>
      <c r="C178" s="19" t="s">
        <v>45</v>
      </c>
      <c r="D178" s="19" t="s">
        <v>19</v>
      </c>
      <c r="E178" s="19" t="s">
        <v>232</v>
      </c>
      <c r="F178" s="19" t="s">
        <v>232</v>
      </c>
      <c r="G178" s="24">
        <v>46576897</v>
      </c>
      <c r="H178" s="24">
        <v>48235492</v>
      </c>
      <c r="I178" s="19">
        <v>100</v>
      </c>
      <c r="J178" s="24">
        <f t="shared" si="22"/>
        <v>0</v>
      </c>
      <c r="K178" s="36">
        <f t="shared" si="26"/>
        <v>0</v>
      </c>
      <c r="L178" s="23" t="s">
        <v>232</v>
      </c>
      <c r="M178" s="23" t="s">
        <v>232</v>
      </c>
      <c r="N178" s="24" t="e">
        <f t="shared" si="23"/>
        <v>#VALUE!</v>
      </c>
      <c r="O178" s="24" t="e">
        <f t="shared" si="27"/>
        <v>#VALUE!</v>
      </c>
      <c r="P178" s="24" t="e">
        <f t="shared" si="28"/>
        <v>#VALUE!</v>
      </c>
      <c r="Q178" s="24" t="e">
        <f t="shared" si="29"/>
        <v>#VALUE!</v>
      </c>
      <c r="R178" s="36">
        <f t="shared" si="30"/>
        <v>0</v>
      </c>
      <c r="S178" s="24">
        <v>2120296778.8542163</v>
      </c>
      <c r="T178" s="24">
        <f t="shared" si="24"/>
        <v>31804451682.813244</v>
      </c>
      <c r="U178" s="23" t="e">
        <f t="shared" si="25"/>
        <v>#VALUE!</v>
      </c>
      <c r="V178" s="23" t="e">
        <f t="shared" si="31"/>
        <v>#VALUE!</v>
      </c>
      <c r="W178" s="23" t="e">
        <f t="shared" si="32"/>
        <v>#VALUE!</v>
      </c>
    </row>
    <row r="179" spans="1:23" x14ac:dyDescent="0.25">
      <c r="A179" s="19" t="s">
        <v>379</v>
      </c>
      <c r="B179" s="19" t="s">
        <v>380</v>
      </c>
      <c r="C179" s="19" t="s">
        <v>40</v>
      </c>
      <c r="D179" s="19" t="s">
        <v>15</v>
      </c>
      <c r="E179" s="19" t="s">
        <v>465</v>
      </c>
      <c r="F179" s="19" t="s">
        <v>232</v>
      </c>
      <c r="G179" s="24">
        <v>20653000</v>
      </c>
      <c r="H179" s="24">
        <v>23271183</v>
      </c>
      <c r="I179" s="19">
        <v>90</v>
      </c>
      <c r="J179" s="24">
        <f t="shared" si="22"/>
        <v>2327118.2999999993</v>
      </c>
      <c r="K179" s="36">
        <f t="shared" si="26"/>
        <v>2327118.2999999993</v>
      </c>
      <c r="L179" s="23">
        <v>88.034188034188034</v>
      </c>
      <c r="M179" s="23" t="s">
        <v>232</v>
      </c>
      <c r="N179" s="24">
        <f t="shared" si="23"/>
        <v>204865969.99999994</v>
      </c>
      <c r="O179" s="24">
        <f t="shared" si="27"/>
        <v>16541902.747649994</v>
      </c>
      <c r="P179" s="24">
        <f t="shared" si="28"/>
        <v>24812854.121474989</v>
      </c>
      <c r="Q179" s="24">
        <f t="shared" si="29"/>
        <v>229678824.12147492</v>
      </c>
      <c r="R179" s="36">
        <f t="shared" si="30"/>
        <v>229678824.12147492</v>
      </c>
      <c r="S179" s="24">
        <v>464220477.24420649</v>
      </c>
      <c r="T179" s="24">
        <f t="shared" si="24"/>
        <v>6963307158.6630974</v>
      </c>
      <c r="U179" s="23">
        <f t="shared" si="25"/>
        <v>3.2984158085821329E-2</v>
      </c>
      <c r="V179" s="23">
        <f t="shared" si="31"/>
        <v>1.0994719361940441E-2</v>
      </c>
      <c r="W179" s="23">
        <f t="shared" si="32"/>
        <v>9.8952474257463965E-2</v>
      </c>
    </row>
    <row r="180" spans="1:23" s="31" customFormat="1" x14ac:dyDescent="0.25">
      <c r="A180" s="31" t="s">
        <v>381</v>
      </c>
      <c r="B180" s="31" t="s">
        <v>382</v>
      </c>
      <c r="C180" s="31" t="s">
        <v>29</v>
      </c>
      <c r="D180" s="31" t="s">
        <v>35</v>
      </c>
      <c r="E180" s="31" t="s">
        <v>468</v>
      </c>
      <c r="F180" s="19" t="s">
        <v>232</v>
      </c>
      <c r="G180" s="30">
        <v>52352</v>
      </c>
      <c r="H180" s="30">
        <v>62581</v>
      </c>
      <c r="I180" s="19" t="s">
        <v>232</v>
      </c>
      <c r="J180" s="24" t="e">
        <f t="shared" si="22"/>
        <v>#VALUE!</v>
      </c>
      <c r="K180" s="36">
        <f t="shared" si="26"/>
        <v>0</v>
      </c>
      <c r="L180" s="23" t="s">
        <v>232</v>
      </c>
      <c r="M180" s="23" t="s">
        <v>232</v>
      </c>
      <c r="N180" s="24" t="e">
        <f t="shared" si="23"/>
        <v>#VALUE!</v>
      </c>
      <c r="O180" s="24" t="e">
        <f t="shared" si="27"/>
        <v>#VALUE!</v>
      </c>
      <c r="P180" s="24" t="e">
        <f t="shared" si="28"/>
        <v>#VALUE!</v>
      </c>
      <c r="Q180" s="24" t="e">
        <f t="shared" si="29"/>
        <v>#VALUE!</v>
      </c>
      <c r="R180" s="36">
        <f t="shared" si="30"/>
        <v>0</v>
      </c>
      <c r="S180" s="30">
        <v>0</v>
      </c>
      <c r="T180" s="24">
        <f t="shared" si="24"/>
        <v>0</v>
      </c>
      <c r="U180" s="23" t="e">
        <f t="shared" si="25"/>
        <v>#VALUE!</v>
      </c>
      <c r="V180" s="23" t="e">
        <f t="shared" si="31"/>
        <v>#VALUE!</v>
      </c>
      <c r="W180" s="23" t="e">
        <f t="shared" si="32"/>
        <v>#VALUE!</v>
      </c>
    </row>
    <row r="181" spans="1:23" x14ac:dyDescent="0.25">
      <c r="A181" s="19" t="s">
        <v>383</v>
      </c>
      <c r="B181" s="19" t="s">
        <v>384</v>
      </c>
      <c r="C181" s="19" t="s">
        <v>18</v>
      </c>
      <c r="D181" s="19" t="s">
        <v>35</v>
      </c>
      <c r="E181" s="19" t="s">
        <v>468</v>
      </c>
      <c r="F181" s="19" t="s">
        <v>232</v>
      </c>
      <c r="G181" s="24">
        <v>177397</v>
      </c>
      <c r="H181" s="24">
        <v>201817</v>
      </c>
      <c r="I181" s="19">
        <v>65.3</v>
      </c>
      <c r="J181" s="24">
        <f t="shared" si="22"/>
        <v>70030.498999999996</v>
      </c>
      <c r="K181" s="36">
        <f t="shared" si="26"/>
        <v>70030.498999999996</v>
      </c>
      <c r="L181" s="23">
        <v>271.17101589161985</v>
      </c>
      <c r="M181" s="23">
        <v>271.17101589161985</v>
      </c>
      <c r="N181" s="24">
        <f t="shared" si="23"/>
        <v>18990241.557227068</v>
      </c>
      <c r="O181" s="24">
        <f t="shared" si="27"/>
        <v>1533367.0545382996</v>
      </c>
      <c r="P181" s="24">
        <f t="shared" si="28"/>
        <v>2300050.5818074495</v>
      </c>
      <c r="Q181" s="24">
        <f t="shared" si="29"/>
        <v>21290292.139034517</v>
      </c>
      <c r="R181" s="36">
        <f t="shared" si="30"/>
        <v>21290292.139034517</v>
      </c>
      <c r="S181" s="24">
        <v>643469.71291057637</v>
      </c>
      <c r="T181" s="24">
        <f t="shared" si="24"/>
        <v>9652045.6936586462</v>
      </c>
      <c r="U181" s="23">
        <f t="shared" si="25"/>
        <v>2.2057802889414573</v>
      </c>
      <c r="V181" s="23">
        <f t="shared" si="31"/>
        <v>0.73526009631381906</v>
      </c>
      <c r="W181" s="23">
        <f t="shared" si="32"/>
        <v>6.6173408668243718</v>
      </c>
    </row>
    <row r="182" spans="1:23" x14ac:dyDescent="0.25">
      <c r="A182" s="19" t="s">
        <v>385</v>
      </c>
      <c r="B182" s="19" t="s">
        <v>386</v>
      </c>
      <c r="C182" s="19" t="s">
        <v>29</v>
      </c>
      <c r="D182" s="19" t="s">
        <v>35</v>
      </c>
      <c r="E182" s="19" t="s">
        <v>468</v>
      </c>
      <c r="F182" s="19" t="s">
        <v>232</v>
      </c>
      <c r="G182" s="24">
        <v>30235</v>
      </c>
      <c r="H182" s="24" t="s">
        <v>232</v>
      </c>
      <c r="I182" s="19" t="s">
        <v>232</v>
      </c>
      <c r="J182" s="24" t="e">
        <f t="shared" si="22"/>
        <v>#VALUE!</v>
      </c>
      <c r="K182" s="36">
        <f t="shared" si="26"/>
        <v>0</v>
      </c>
      <c r="L182" s="23" t="s">
        <v>232</v>
      </c>
      <c r="M182" s="23" t="s">
        <v>232</v>
      </c>
      <c r="N182" s="24" t="e">
        <f t="shared" si="23"/>
        <v>#VALUE!</v>
      </c>
      <c r="O182" s="24" t="e">
        <f t="shared" si="27"/>
        <v>#VALUE!</v>
      </c>
      <c r="P182" s="24" t="e">
        <f t="shared" si="28"/>
        <v>#VALUE!</v>
      </c>
      <c r="Q182" s="24" t="e">
        <f t="shared" si="29"/>
        <v>#VALUE!</v>
      </c>
      <c r="R182" s="36">
        <f t="shared" si="30"/>
        <v>0</v>
      </c>
      <c r="S182" s="24" t="s">
        <v>232</v>
      </c>
      <c r="T182" s="24" t="e">
        <f t="shared" si="24"/>
        <v>#VALUE!</v>
      </c>
      <c r="U182" s="23" t="e">
        <f t="shared" si="25"/>
        <v>#VALUE!</v>
      </c>
      <c r="V182" s="23" t="e">
        <f t="shared" si="31"/>
        <v>#VALUE!</v>
      </c>
      <c r="W182" s="23" t="e">
        <f t="shared" si="32"/>
        <v>#VALUE!</v>
      </c>
    </row>
    <row r="183" spans="1:23" x14ac:dyDescent="0.25">
      <c r="A183" s="19" t="s">
        <v>387</v>
      </c>
      <c r="B183" s="19" t="s">
        <v>388</v>
      </c>
      <c r="C183" s="19" t="s">
        <v>18</v>
      </c>
      <c r="D183" s="19" t="s">
        <v>35</v>
      </c>
      <c r="E183" s="19" t="s">
        <v>468</v>
      </c>
      <c r="F183" s="19" t="s">
        <v>232</v>
      </c>
      <c r="G183" s="24">
        <v>109316</v>
      </c>
      <c r="H183" s="24">
        <v>110012</v>
      </c>
      <c r="I183" s="19" t="s">
        <v>232</v>
      </c>
      <c r="J183" s="24" t="e">
        <f t="shared" si="22"/>
        <v>#VALUE!</v>
      </c>
      <c r="K183" s="36">
        <f t="shared" si="26"/>
        <v>0</v>
      </c>
      <c r="L183" s="23" t="s">
        <v>232</v>
      </c>
      <c r="M183" s="23" t="s">
        <v>232</v>
      </c>
      <c r="N183" s="24" t="e">
        <f t="shared" si="23"/>
        <v>#VALUE!</v>
      </c>
      <c r="O183" s="24" t="e">
        <f t="shared" si="27"/>
        <v>#VALUE!</v>
      </c>
      <c r="P183" s="24" t="e">
        <f t="shared" si="28"/>
        <v>#VALUE!</v>
      </c>
      <c r="Q183" s="24" t="e">
        <f t="shared" si="29"/>
        <v>#VALUE!</v>
      </c>
      <c r="R183" s="36">
        <f t="shared" si="30"/>
        <v>0</v>
      </c>
      <c r="S183" s="24">
        <v>486293.25308693683</v>
      </c>
      <c r="T183" s="24">
        <f t="shared" si="24"/>
        <v>7294398.7963040527</v>
      </c>
      <c r="U183" s="23" t="e">
        <f t="shared" si="25"/>
        <v>#VALUE!</v>
      </c>
      <c r="V183" s="23" t="e">
        <f t="shared" si="31"/>
        <v>#VALUE!</v>
      </c>
      <c r="W183" s="23" t="e">
        <f t="shared" si="32"/>
        <v>#VALUE!</v>
      </c>
    </row>
    <row r="184" spans="1:23" x14ac:dyDescent="0.25">
      <c r="A184" s="19" t="s">
        <v>389</v>
      </c>
      <c r="B184" s="19" t="s">
        <v>390</v>
      </c>
      <c r="C184" s="19" t="s">
        <v>40</v>
      </c>
      <c r="D184" s="19" t="s">
        <v>32</v>
      </c>
      <c r="E184" s="19" t="s">
        <v>467</v>
      </c>
      <c r="F184" s="19" t="s">
        <v>232</v>
      </c>
      <c r="G184" s="24">
        <v>35652002</v>
      </c>
      <c r="H184" s="24">
        <v>55077835</v>
      </c>
      <c r="I184" s="19">
        <v>22.4</v>
      </c>
      <c r="J184" s="24">
        <f t="shared" si="22"/>
        <v>42740399.960000001</v>
      </c>
      <c r="K184" s="36">
        <f t="shared" si="26"/>
        <v>42740399.960000001</v>
      </c>
      <c r="L184" s="23">
        <v>202.18853809005387</v>
      </c>
      <c r="M184" s="23" t="s">
        <v>232</v>
      </c>
      <c r="N184" s="24">
        <f t="shared" si="23"/>
        <v>8641618985.2965965</v>
      </c>
      <c r="O184" s="24">
        <f t="shared" si="27"/>
        <v>697767524.96777368</v>
      </c>
      <c r="P184" s="24">
        <f t="shared" si="28"/>
        <v>1046651287.4516605</v>
      </c>
      <c r="Q184" s="24">
        <f t="shared" si="29"/>
        <v>9688270272.7482567</v>
      </c>
      <c r="R184" s="36">
        <f t="shared" si="30"/>
        <v>9688270272.7482567</v>
      </c>
      <c r="S184" s="24">
        <v>11997149674.977474</v>
      </c>
      <c r="T184" s="24">
        <f t="shared" si="24"/>
        <v>179957245124.66211</v>
      </c>
      <c r="U184" s="23">
        <f t="shared" si="25"/>
        <v>5.3836511367113246E-2</v>
      </c>
      <c r="V184" s="23">
        <f t="shared" si="31"/>
        <v>1.794550378903775E-2</v>
      </c>
      <c r="W184" s="23">
        <f t="shared" si="32"/>
        <v>0.16150953410133975</v>
      </c>
    </row>
    <row r="185" spans="1:23" x14ac:dyDescent="0.25">
      <c r="A185" s="19" t="s">
        <v>391</v>
      </c>
      <c r="B185" s="19" t="s">
        <v>392</v>
      </c>
      <c r="C185" s="19" t="s">
        <v>18</v>
      </c>
      <c r="D185" s="19" t="s">
        <v>35</v>
      </c>
      <c r="E185" s="19" t="s">
        <v>468</v>
      </c>
      <c r="F185" s="19" t="s">
        <v>232</v>
      </c>
      <c r="G185" s="24">
        <v>524960</v>
      </c>
      <c r="H185" s="24">
        <v>603805</v>
      </c>
      <c r="I185" s="19">
        <v>80.400000000000006</v>
      </c>
      <c r="J185" s="24">
        <f t="shared" si="22"/>
        <v>118345.77999999997</v>
      </c>
      <c r="K185" s="36">
        <f t="shared" si="26"/>
        <v>118345.77999999997</v>
      </c>
      <c r="L185" s="23">
        <v>292.45283018867923</v>
      </c>
      <c r="M185" s="23" t="s">
        <v>232</v>
      </c>
      <c r="N185" s="24">
        <f t="shared" si="23"/>
        <v>34610558.301886782</v>
      </c>
      <c r="O185" s="24">
        <f t="shared" si="27"/>
        <v>2794629.5300858482</v>
      </c>
      <c r="P185" s="24">
        <f t="shared" si="28"/>
        <v>4191944.295128772</v>
      </c>
      <c r="Q185" s="24">
        <f t="shared" si="29"/>
        <v>38802502.597015552</v>
      </c>
      <c r="R185" s="36">
        <f t="shared" si="30"/>
        <v>38802502.597015552</v>
      </c>
      <c r="S185" s="24">
        <v>608902361.97083366</v>
      </c>
      <c r="T185" s="24">
        <f t="shared" si="24"/>
        <v>9133535429.5625057</v>
      </c>
      <c r="U185" s="23">
        <f t="shared" si="25"/>
        <v>4.2483551847210801E-3</v>
      </c>
      <c r="V185" s="23">
        <f t="shared" si="31"/>
        <v>1.4161183949070268E-3</v>
      </c>
      <c r="W185" s="23">
        <f t="shared" si="32"/>
        <v>1.2745065554163241E-2</v>
      </c>
    </row>
    <row r="186" spans="1:23" x14ac:dyDescent="0.25">
      <c r="A186" s="19" t="s">
        <v>393</v>
      </c>
      <c r="B186" s="19" t="s">
        <v>394</v>
      </c>
      <c r="C186" s="19" t="s">
        <v>40</v>
      </c>
      <c r="D186" s="19" t="s">
        <v>32</v>
      </c>
      <c r="E186" s="19" t="s">
        <v>467</v>
      </c>
      <c r="F186" s="19" t="s">
        <v>232</v>
      </c>
      <c r="G186" s="24">
        <v>1193148</v>
      </c>
      <c r="H186" s="24">
        <v>1515527</v>
      </c>
      <c r="I186" s="19">
        <v>56.5</v>
      </c>
      <c r="J186" s="24">
        <f t="shared" si="22"/>
        <v>659254.24500000011</v>
      </c>
      <c r="K186" s="36">
        <f t="shared" si="26"/>
        <v>659254.24500000011</v>
      </c>
      <c r="L186" s="23">
        <v>113.7123745819398</v>
      </c>
      <c r="M186" s="23" t="s">
        <v>232</v>
      </c>
      <c r="N186" s="24">
        <f t="shared" si="23"/>
        <v>74965365.652173921</v>
      </c>
      <c r="O186" s="24">
        <f t="shared" si="27"/>
        <v>6053078.4495847831</v>
      </c>
      <c r="P186" s="24">
        <f t="shared" si="28"/>
        <v>9079617.674377175</v>
      </c>
      <c r="Q186" s="24">
        <f t="shared" si="29"/>
        <v>84044983.326551095</v>
      </c>
      <c r="R186" s="36">
        <f t="shared" si="30"/>
        <v>84044983.326551095</v>
      </c>
      <c r="S186" s="24">
        <v>92945139.393425897</v>
      </c>
      <c r="T186" s="24">
        <f t="shared" si="24"/>
        <v>1394177090.9013884</v>
      </c>
      <c r="U186" s="23">
        <f t="shared" si="25"/>
        <v>6.0282860674616898E-2</v>
      </c>
      <c r="V186" s="23">
        <f t="shared" si="31"/>
        <v>2.0094286891538964E-2</v>
      </c>
      <c r="W186" s="23">
        <f t="shared" si="32"/>
        <v>0.18084858202385071</v>
      </c>
    </row>
    <row r="187" spans="1:23" x14ac:dyDescent="0.25">
      <c r="A187" s="19" t="s">
        <v>395</v>
      </c>
      <c r="B187" s="19" t="s">
        <v>396</v>
      </c>
      <c r="C187" s="19" t="s">
        <v>45</v>
      </c>
      <c r="D187" s="19" t="s">
        <v>19</v>
      </c>
      <c r="E187" s="19" t="s">
        <v>232</v>
      </c>
      <c r="F187" s="19" t="s">
        <v>232</v>
      </c>
      <c r="G187" s="24">
        <v>9378126</v>
      </c>
      <c r="H187" s="24">
        <v>10690986</v>
      </c>
      <c r="I187" s="19">
        <v>100</v>
      </c>
      <c r="J187" s="24">
        <f t="shared" si="22"/>
        <v>0</v>
      </c>
      <c r="K187" s="36">
        <f t="shared" si="26"/>
        <v>0</v>
      </c>
      <c r="L187" s="23" t="s">
        <v>232</v>
      </c>
      <c r="M187" s="23" t="s">
        <v>232</v>
      </c>
      <c r="N187" s="24" t="e">
        <f t="shared" si="23"/>
        <v>#VALUE!</v>
      </c>
      <c r="O187" s="24" t="e">
        <f t="shared" si="27"/>
        <v>#VALUE!</v>
      </c>
      <c r="P187" s="24" t="e">
        <f t="shared" si="28"/>
        <v>#VALUE!</v>
      </c>
      <c r="Q187" s="24" t="e">
        <f t="shared" si="29"/>
        <v>#VALUE!</v>
      </c>
      <c r="R187" s="36">
        <f t="shared" si="30"/>
        <v>0</v>
      </c>
      <c r="S187" s="24">
        <v>6600024142.4592056</v>
      </c>
      <c r="T187" s="24">
        <f t="shared" si="24"/>
        <v>99000362136.888092</v>
      </c>
      <c r="U187" s="23" t="e">
        <f t="shared" si="25"/>
        <v>#VALUE!</v>
      </c>
      <c r="V187" s="23" t="e">
        <f t="shared" si="31"/>
        <v>#VALUE!</v>
      </c>
      <c r="W187" s="23" t="e">
        <f t="shared" si="32"/>
        <v>#VALUE!</v>
      </c>
    </row>
    <row r="188" spans="1:23" x14ac:dyDescent="0.25">
      <c r="A188" s="19" t="s">
        <v>397</v>
      </c>
      <c r="B188" s="19" t="s">
        <v>398</v>
      </c>
      <c r="C188" s="19" t="s">
        <v>45</v>
      </c>
      <c r="D188" s="19" t="s">
        <v>19</v>
      </c>
      <c r="E188" s="19" t="s">
        <v>232</v>
      </c>
      <c r="F188" s="19" t="s">
        <v>232</v>
      </c>
      <c r="G188" s="24">
        <v>7824909</v>
      </c>
      <c r="H188" s="24">
        <v>9477452</v>
      </c>
      <c r="I188" s="19">
        <v>100</v>
      </c>
      <c r="J188" s="24">
        <f t="shared" si="22"/>
        <v>0</v>
      </c>
      <c r="K188" s="36">
        <f t="shared" si="26"/>
        <v>0</v>
      </c>
      <c r="L188" s="23" t="s">
        <v>232</v>
      </c>
      <c r="M188" s="23" t="s">
        <v>232</v>
      </c>
      <c r="N188" s="24" t="e">
        <f t="shared" si="23"/>
        <v>#VALUE!</v>
      </c>
      <c r="O188" s="24" t="e">
        <f t="shared" si="27"/>
        <v>#VALUE!</v>
      </c>
      <c r="P188" s="24" t="e">
        <f t="shared" si="28"/>
        <v>#VALUE!</v>
      </c>
      <c r="Q188" s="24" t="e">
        <f t="shared" si="29"/>
        <v>#VALUE!</v>
      </c>
      <c r="R188" s="36">
        <f t="shared" si="30"/>
        <v>0</v>
      </c>
      <c r="S188" s="24">
        <v>278578079.29358196</v>
      </c>
      <c r="T188" s="24">
        <f t="shared" si="24"/>
        <v>4178671189.4037294</v>
      </c>
      <c r="U188" s="23" t="e">
        <f t="shared" si="25"/>
        <v>#VALUE!</v>
      </c>
      <c r="V188" s="23" t="e">
        <f t="shared" si="31"/>
        <v>#VALUE!</v>
      </c>
      <c r="W188" s="23" t="e">
        <f t="shared" si="32"/>
        <v>#VALUE!</v>
      </c>
    </row>
    <row r="189" spans="1:23" x14ac:dyDescent="0.25">
      <c r="A189" s="19" t="s">
        <v>399</v>
      </c>
      <c r="B189" s="19" t="s">
        <v>400</v>
      </c>
      <c r="C189" s="19" t="s">
        <v>40</v>
      </c>
      <c r="D189" s="19" t="s">
        <v>22</v>
      </c>
      <c r="E189" s="19" t="s">
        <v>474</v>
      </c>
      <c r="F189" s="19" t="s">
        <v>232</v>
      </c>
      <c r="G189" s="24">
        <v>21532647</v>
      </c>
      <c r="H189" s="24">
        <v>29933865</v>
      </c>
      <c r="I189" s="19">
        <v>94.6</v>
      </c>
      <c r="J189" s="24">
        <f t="shared" si="22"/>
        <v>1616428.7100000014</v>
      </c>
      <c r="K189" s="36">
        <f t="shared" si="26"/>
        <v>1616428.7100000014</v>
      </c>
      <c r="L189" s="23">
        <v>299.84170793083854</v>
      </c>
      <c r="M189" s="23">
        <v>299.84170793083854</v>
      </c>
      <c r="N189" s="24">
        <f t="shared" si="23"/>
        <v>484672745.1548425</v>
      </c>
      <c r="O189" s="24">
        <f t="shared" si="27"/>
        <v>39134900.807527758</v>
      </c>
      <c r="P189" s="24">
        <f t="shared" si="28"/>
        <v>58702351.211291641</v>
      </c>
      <c r="Q189" s="24">
        <f t="shared" si="29"/>
        <v>543375096.36613417</v>
      </c>
      <c r="R189" s="36">
        <f t="shared" si="30"/>
        <v>543375096.36613417</v>
      </c>
      <c r="S189" s="24" t="s">
        <v>232</v>
      </c>
      <c r="T189" s="24" t="e">
        <f t="shared" si="24"/>
        <v>#VALUE!</v>
      </c>
      <c r="U189" s="23" t="e">
        <f t="shared" si="25"/>
        <v>#VALUE!</v>
      </c>
      <c r="V189" s="23" t="e">
        <f t="shared" si="31"/>
        <v>#VALUE!</v>
      </c>
      <c r="W189" s="23" t="e">
        <f t="shared" si="32"/>
        <v>#VALUE!</v>
      </c>
    </row>
    <row r="190" spans="1:23" x14ac:dyDescent="0.25">
      <c r="A190" s="19" t="s">
        <v>401</v>
      </c>
      <c r="B190" s="19" t="s">
        <v>402</v>
      </c>
      <c r="C190" s="19" t="s">
        <v>14</v>
      </c>
      <c r="D190" s="19" t="s">
        <v>19</v>
      </c>
      <c r="E190" s="19" t="s">
        <v>469</v>
      </c>
      <c r="F190" s="19" t="s">
        <v>232</v>
      </c>
      <c r="G190" s="24">
        <v>7627326</v>
      </c>
      <c r="H190" s="24">
        <v>11407028</v>
      </c>
      <c r="I190" s="19">
        <v>93.7</v>
      </c>
      <c r="J190" s="24">
        <f t="shared" si="22"/>
        <v>718642.76399999938</v>
      </c>
      <c r="K190" s="36">
        <f t="shared" si="26"/>
        <v>718642.76399999938</v>
      </c>
      <c r="L190" s="23">
        <v>124.54212454212454</v>
      </c>
      <c r="M190" s="23" t="s">
        <v>232</v>
      </c>
      <c r="N190" s="24">
        <f t="shared" si="23"/>
        <v>89501296.615384534</v>
      </c>
      <c r="O190" s="24">
        <f t="shared" si="27"/>
        <v>7226782.1952092238</v>
      </c>
      <c r="P190" s="24">
        <f t="shared" si="28"/>
        <v>10840173.292813836</v>
      </c>
      <c r="Q190" s="24">
        <f t="shared" si="29"/>
        <v>100341469.90819837</v>
      </c>
      <c r="R190" s="36">
        <f t="shared" si="30"/>
        <v>100341469.90819837</v>
      </c>
      <c r="S190" s="24">
        <v>89930664.353367537</v>
      </c>
      <c r="T190" s="24">
        <f t="shared" si="24"/>
        <v>1348959965.300513</v>
      </c>
      <c r="U190" s="23">
        <f t="shared" si="25"/>
        <v>7.4384320134990009E-2</v>
      </c>
      <c r="V190" s="23">
        <f t="shared" si="31"/>
        <v>2.4794773378330002E-2</v>
      </c>
      <c r="W190" s="23">
        <f t="shared" si="32"/>
        <v>0.22315296040497004</v>
      </c>
    </row>
    <row r="191" spans="1:23" x14ac:dyDescent="0.25">
      <c r="A191" s="19" t="s">
        <v>403</v>
      </c>
      <c r="B191" s="19" t="s">
        <v>404</v>
      </c>
      <c r="C191" s="19" t="s">
        <v>14</v>
      </c>
      <c r="D191" s="19" t="s">
        <v>32</v>
      </c>
      <c r="E191" s="19" t="s">
        <v>467</v>
      </c>
      <c r="F191" s="19" t="s">
        <v>232</v>
      </c>
      <c r="G191" s="24">
        <v>44973330</v>
      </c>
      <c r="H191" s="24">
        <v>79354326</v>
      </c>
      <c r="I191" s="19">
        <v>11.6</v>
      </c>
      <c r="J191" s="24">
        <f t="shared" si="22"/>
        <v>70149224.184</v>
      </c>
      <c r="K191" s="36">
        <f t="shared" si="26"/>
        <v>70149224.184</v>
      </c>
      <c r="L191" s="23">
        <v>133.83254909236055</v>
      </c>
      <c r="M191" s="23">
        <v>133.83254909236055</v>
      </c>
      <c r="N191" s="24">
        <f t="shared" si="23"/>
        <v>9388249489.3961868</v>
      </c>
      <c r="O191" s="24">
        <f t="shared" si="27"/>
        <v>758054205.02129507</v>
      </c>
      <c r="P191" s="24">
        <f t="shared" si="28"/>
        <v>1137081307.5319426</v>
      </c>
      <c r="Q191" s="24">
        <f t="shared" si="29"/>
        <v>10525330796.928129</v>
      </c>
      <c r="R191" s="36">
        <f t="shared" si="30"/>
        <v>10525330796.928129</v>
      </c>
      <c r="S191" s="24">
        <v>2569147998.6777964</v>
      </c>
      <c r="T191" s="24">
        <f t="shared" si="24"/>
        <v>38537219980.166946</v>
      </c>
      <c r="U191" s="23">
        <f t="shared" si="25"/>
        <v>0.27312117486276788</v>
      </c>
      <c r="V191" s="23">
        <f t="shared" si="31"/>
        <v>9.1040391620922631E-2</v>
      </c>
      <c r="W191" s="23">
        <f t="shared" si="32"/>
        <v>0.81936352458830364</v>
      </c>
    </row>
    <row r="192" spans="1:23" x14ac:dyDescent="0.25">
      <c r="A192" s="19" t="s">
        <v>405</v>
      </c>
      <c r="B192" s="19" t="s">
        <v>406</v>
      </c>
      <c r="C192" s="19" t="s">
        <v>18</v>
      </c>
      <c r="D192" s="19" t="s">
        <v>26</v>
      </c>
      <c r="E192" s="19" t="s">
        <v>471</v>
      </c>
      <c r="F192" s="19" t="s">
        <v>232</v>
      </c>
      <c r="G192" s="24">
        <v>66402316</v>
      </c>
      <c r="H192" s="24">
        <v>67554088</v>
      </c>
      <c r="I192" s="19">
        <v>93.5</v>
      </c>
      <c r="J192" s="24">
        <f t="shared" si="22"/>
        <v>4391015.719999996</v>
      </c>
      <c r="K192" s="36">
        <f t="shared" si="26"/>
        <v>4391015.719999996</v>
      </c>
      <c r="L192" s="23">
        <v>155.59293523969723</v>
      </c>
      <c r="M192" s="23" t="s">
        <v>232</v>
      </c>
      <c r="N192" s="24">
        <f t="shared" si="23"/>
        <v>683211024.55845189</v>
      </c>
      <c r="O192" s="24">
        <f t="shared" si="27"/>
        <v>55165874.177972198</v>
      </c>
      <c r="P192" s="24">
        <f t="shared" si="28"/>
        <v>82748811.266958296</v>
      </c>
      <c r="Q192" s="24">
        <f t="shared" si="29"/>
        <v>765959835.82541013</v>
      </c>
      <c r="R192" s="36">
        <f t="shared" si="30"/>
        <v>765959835.82541013</v>
      </c>
      <c r="S192" s="24">
        <v>13671322551.946495</v>
      </c>
      <c r="T192" s="24">
        <f t="shared" si="24"/>
        <v>205069838279.19742</v>
      </c>
      <c r="U192" s="23">
        <f t="shared" si="25"/>
        <v>3.7351169838178498E-3</v>
      </c>
      <c r="V192" s="23">
        <f t="shared" si="31"/>
        <v>1.2450389946059499E-3</v>
      </c>
      <c r="W192" s="23">
        <f t="shared" si="32"/>
        <v>1.1205350951453551E-2</v>
      </c>
    </row>
    <row r="193" spans="1:23" x14ac:dyDescent="0.25">
      <c r="A193" s="19" t="s">
        <v>407</v>
      </c>
      <c r="B193" s="19" t="s">
        <v>408</v>
      </c>
      <c r="C193" s="19" t="s">
        <v>40</v>
      </c>
      <c r="D193" s="19" t="s">
        <v>26</v>
      </c>
      <c r="E193" s="19" t="s">
        <v>471</v>
      </c>
      <c r="F193" s="19" t="s">
        <v>232</v>
      </c>
      <c r="G193" s="24">
        <v>1066409</v>
      </c>
      <c r="H193" s="24">
        <v>1555457</v>
      </c>
      <c r="I193" s="19">
        <v>38.5</v>
      </c>
      <c r="J193" s="24">
        <f t="shared" si="22"/>
        <v>956606.05499999993</v>
      </c>
      <c r="K193" s="36">
        <f t="shared" si="26"/>
        <v>956606.05499999993</v>
      </c>
      <c r="L193" s="23">
        <v>60.24096385542169</v>
      </c>
      <c r="M193" s="23" t="s">
        <v>232</v>
      </c>
      <c r="N193" s="24">
        <f t="shared" si="23"/>
        <v>57626870.783132531</v>
      </c>
      <c r="O193" s="24">
        <f t="shared" si="27"/>
        <v>4653081.6813840363</v>
      </c>
      <c r="P193" s="24">
        <f t="shared" si="28"/>
        <v>6979622.5220760545</v>
      </c>
      <c r="Q193" s="24">
        <f t="shared" si="29"/>
        <v>64606493.305208586</v>
      </c>
      <c r="R193" s="36">
        <f t="shared" si="30"/>
        <v>64606493.305208586</v>
      </c>
      <c r="S193" s="24">
        <v>6029932.4922673218</v>
      </c>
      <c r="T193" s="24">
        <f t="shared" si="24"/>
        <v>90448987.384009823</v>
      </c>
      <c r="U193" s="23">
        <f t="shared" si="25"/>
        <v>0.71428652960939787</v>
      </c>
      <c r="V193" s="23">
        <f t="shared" si="31"/>
        <v>0.2380955098697993</v>
      </c>
      <c r="W193" s="23">
        <f t="shared" si="32"/>
        <v>2.1428595888281934</v>
      </c>
    </row>
    <row r="194" spans="1:23" x14ac:dyDescent="0.25">
      <c r="A194" s="19" t="s">
        <v>409</v>
      </c>
      <c r="B194" s="19" t="s">
        <v>410</v>
      </c>
      <c r="C194" s="19" t="s">
        <v>14</v>
      </c>
      <c r="D194" s="19" t="s">
        <v>32</v>
      </c>
      <c r="E194" s="19" t="s">
        <v>467</v>
      </c>
      <c r="F194" s="19" t="s">
        <v>232</v>
      </c>
      <c r="G194" s="24">
        <v>6306014</v>
      </c>
      <c r="H194" s="24">
        <v>10014965</v>
      </c>
      <c r="I194" s="19">
        <v>11.5</v>
      </c>
      <c r="J194" s="24">
        <f t="shared" si="22"/>
        <v>8863244.0250000004</v>
      </c>
      <c r="K194" s="36">
        <f t="shared" si="26"/>
        <v>8863244.0250000004</v>
      </c>
      <c r="L194" s="23">
        <v>139.18215613382898</v>
      </c>
      <c r="M194" s="23" t="s">
        <v>232</v>
      </c>
      <c r="N194" s="24">
        <f t="shared" si="23"/>
        <v>1233605413.7397768</v>
      </c>
      <c r="O194" s="24">
        <f t="shared" si="27"/>
        <v>99607469.132418275</v>
      </c>
      <c r="P194" s="24">
        <f t="shared" si="28"/>
        <v>149411203.69862741</v>
      </c>
      <c r="Q194" s="24">
        <f t="shared" si="29"/>
        <v>1383016617.4384043</v>
      </c>
      <c r="R194" s="36">
        <f t="shared" si="30"/>
        <v>1383016617.4384043</v>
      </c>
      <c r="S194" s="24">
        <v>289914233.93356359</v>
      </c>
      <c r="T194" s="24">
        <f t="shared" si="24"/>
        <v>4348713509.0034542</v>
      </c>
      <c r="U194" s="23">
        <f t="shared" si="25"/>
        <v>0.31802891006157236</v>
      </c>
      <c r="V194" s="23">
        <f t="shared" si="31"/>
        <v>0.10600963668719079</v>
      </c>
      <c r="W194" s="23">
        <f t="shared" si="32"/>
        <v>0.95408673018471712</v>
      </c>
    </row>
    <row r="195" spans="1:23" x14ac:dyDescent="0.25">
      <c r="A195" s="19" t="s">
        <v>411</v>
      </c>
      <c r="B195" s="19" t="s">
        <v>412</v>
      </c>
      <c r="C195" s="19" t="s">
        <v>18</v>
      </c>
      <c r="D195" s="19" t="s">
        <v>26</v>
      </c>
      <c r="E195" s="19" t="s">
        <v>473</v>
      </c>
      <c r="F195" s="19" t="s">
        <v>232</v>
      </c>
      <c r="G195" s="24">
        <v>104098</v>
      </c>
      <c r="H195" s="24">
        <v>120995</v>
      </c>
      <c r="I195" s="19">
        <v>91.7</v>
      </c>
      <c r="J195" s="24">
        <f t="shared" ref="J195:J216" si="33">(1-(I195/100))*H195</f>
        <v>10042.584999999995</v>
      </c>
      <c r="K195" s="36">
        <f t="shared" si="26"/>
        <v>10042.584999999995</v>
      </c>
      <c r="L195" s="23">
        <v>400</v>
      </c>
      <c r="M195" s="23" t="s">
        <v>232</v>
      </c>
      <c r="N195" s="24">
        <f t="shared" ref="N195:N216" si="34">L195*J195</f>
        <v>4017033.9999999981</v>
      </c>
      <c r="O195" s="24">
        <f t="shared" si="27"/>
        <v>324355.41032999987</v>
      </c>
      <c r="P195" s="24">
        <f t="shared" si="28"/>
        <v>486533.1154949998</v>
      </c>
      <c r="Q195" s="24">
        <f t="shared" si="29"/>
        <v>4503567.1154949982</v>
      </c>
      <c r="R195" s="36">
        <f t="shared" si="30"/>
        <v>4503567.1154949982</v>
      </c>
      <c r="S195" s="24">
        <v>258294.04268454493</v>
      </c>
      <c r="T195" s="24">
        <f t="shared" ref="T195:T216" si="35">S195*15</f>
        <v>3874410.640268174</v>
      </c>
      <c r="U195" s="23">
        <f t="shared" ref="U195:U216" si="36">Q195/T195</f>
        <v>1.1623876593481779</v>
      </c>
      <c r="V195" s="23">
        <f t="shared" si="31"/>
        <v>0.38746255311605926</v>
      </c>
      <c r="W195" s="23">
        <f t="shared" si="32"/>
        <v>3.4871629780445339</v>
      </c>
    </row>
    <row r="196" spans="1:23" x14ac:dyDescent="0.25">
      <c r="A196" s="19" t="s">
        <v>413</v>
      </c>
      <c r="B196" s="19" t="s">
        <v>414</v>
      </c>
      <c r="C196" s="19" t="s">
        <v>29</v>
      </c>
      <c r="D196" s="19" t="s">
        <v>35</v>
      </c>
      <c r="E196" s="19" t="s">
        <v>468</v>
      </c>
      <c r="F196" s="19" t="s">
        <v>232</v>
      </c>
      <c r="G196" s="24">
        <v>1328095</v>
      </c>
      <c r="H196" s="24">
        <v>1307826</v>
      </c>
      <c r="I196" s="19">
        <v>92.1</v>
      </c>
      <c r="J196" s="24">
        <f t="shared" si="33"/>
        <v>103318.25400000009</v>
      </c>
      <c r="K196" s="36">
        <f t="shared" ref="K196:K216" si="37">IFERROR(J196,0)</f>
        <v>103318.25400000009</v>
      </c>
      <c r="L196" s="23">
        <v>271.17101589161985</v>
      </c>
      <c r="M196" s="23">
        <v>271.17101589161985</v>
      </c>
      <c r="N196" s="24">
        <f t="shared" si="34"/>
        <v>28016915.89732844</v>
      </c>
      <c r="O196" s="24">
        <f t="shared" ref="O196:O216" si="38">N196*0.080745</f>
        <v>2262225.8741297848</v>
      </c>
      <c r="P196" s="24">
        <f t="shared" ref="P196:P216" si="39">(O196/5)*7.5</f>
        <v>3393338.8111946769</v>
      </c>
      <c r="Q196" s="24">
        <f t="shared" ref="Q196:Q216" si="40">N196+P196</f>
        <v>31410254.708523117</v>
      </c>
      <c r="R196" s="36">
        <f t="shared" ref="R196:R216" si="41">IFERROR(Q196,0)</f>
        <v>31410254.708523117</v>
      </c>
      <c r="S196" s="24">
        <v>8121778589.9499531</v>
      </c>
      <c r="T196" s="24">
        <f t="shared" si="35"/>
        <v>121826678849.2493</v>
      </c>
      <c r="U196" s="23">
        <f t="shared" si="36"/>
        <v>2.5782739056188814E-4</v>
      </c>
      <c r="V196" s="23">
        <f t="shared" ref="V196:V216" si="42">(Q196/2)/(T196*1.5)</f>
        <v>8.5942463520629375E-5</v>
      </c>
      <c r="W196" s="23">
        <f t="shared" ref="W196:W216" si="43">(Q196*1.5)/(T196/2)</f>
        <v>7.7348217168566442E-4</v>
      </c>
    </row>
    <row r="197" spans="1:23" x14ac:dyDescent="0.25">
      <c r="A197" s="19" t="s">
        <v>415</v>
      </c>
      <c r="B197" s="19" t="s">
        <v>416</v>
      </c>
      <c r="C197" s="19" t="s">
        <v>18</v>
      </c>
      <c r="D197" s="19" t="s">
        <v>22</v>
      </c>
      <c r="E197" s="19" t="s">
        <v>466</v>
      </c>
      <c r="F197" s="19" t="s">
        <v>232</v>
      </c>
      <c r="G197" s="24">
        <v>10549100</v>
      </c>
      <c r="H197" s="24">
        <v>12561225</v>
      </c>
      <c r="I197" s="19">
        <v>89.1</v>
      </c>
      <c r="J197" s="24">
        <f t="shared" si="33"/>
        <v>1369173.5250000013</v>
      </c>
      <c r="K197" s="36">
        <f t="shared" si="37"/>
        <v>1369173.5250000013</v>
      </c>
      <c r="L197" s="23">
        <v>116.8</v>
      </c>
      <c r="M197" s="23" t="s">
        <v>232</v>
      </c>
      <c r="N197" s="24">
        <f t="shared" si="34"/>
        <v>159919467.72000015</v>
      </c>
      <c r="O197" s="24">
        <f t="shared" si="38"/>
        <v>12912697.421051411</v>
      </c>
      <c r="P197" s="24">
        <f t="shared" si="39"/>
        <v>19369046.131577116</v>
      </c>
      <c r="Q197" s="24">
        <f t="shared" si="40"/>
        <v>179288513.85157725</v>
      </c>
      <c r="R197" s="36">
        <f t="shared" si="41"/>
        <v>179288513.85157725</v>
      </c>
      <c r="S197" s="24">
        <v>2923132889.5717616</v>
      </c>
      <c r="T197" s="24">
        <f t="shared" si="35"/>
        <v>43846993343.576424</v>
      </c>
      <c r="U197" s="23">
        <f t="shared" si="36"/>
        <v>4.0889579918674855E-3</v>
      </c>
      <c r="V197" s="23">
        <f t="shared" si="42"/>
        <v>1.3629859972891618E-3</v>
      </c>
      <c r="W197" s="23">
        <f t="shared" si="43"/>
        <v>1.2266873975602456E-2</v>
      </c>
    </row>
    <row r="198" spans="1:23" x14ac:dyDescent="0.25">
      <c r="A198" s="19" t="s">
        <v>417</v>
      </c>
      <c r="B198" s="19" t="s">
        <v>418</v>
      </c>
      <c r="C198" s="19" t="s">
        <v>18</v>
      </c>
      <c r="D198" s="19" t="s">
        <v>19</v>
      </c>
      <c r="E198" s="19" t="s">
        <v>474</v>
      </c>
      <c r="F198" s="19" t="s">
        <v>232</v>
      </c>
      <c r="G198" s="24">
        <v>72137546</v>
      </c>
      <c r="H198" s="24">
        <v>86825345</v>
      </c>
      <c r="I198" s="19">
        <v>90.8</v>
      </c>
      <c r="J198" s="24">
        <f t="shared" si="33"/>
        <v>7987931.7400000067</v>
      </c>
      <c r="K198" s="36">
        <f t="shared" si="37"/>
        <v>7987931.7400000067</v>
      </c>
      <c r="L198" s="23">
        <v>613.01458531112451</v>
      </c>
      <c r="M198" s="23" t="s">
        <v>232</v>
      </c>
      <c r="N198" s="24">
        <f t="shared" si="34"/>
        <v>4896718663.089673</v>
      </c>
      <c r="O198" s="24">
        <f t="shared" si="38"/>
        <v>395385548.45117563</v>
      </c>
      <c r="P198" s="24">
        <f t="shared" si="39"/>
        <v>593078322.67676342</v>
      </c>
      <c r="Q198" s="24">
        <f t="shared" si="40"/>
        <v>5489796985.7664366</v>
      </c>
      <c r="R198" s="36">
        <f t="shared" si="41"/>
        <v>5489796985.7664366</v>
      </c>
      <c r="S198" s="24">
        <v>4369682103.2413588</v>
      </c>
      <c r="T198" s="24">
        <f t="shared" si="35"/>
        <v>65545231548.620384</v>
      </c>
      <c r="U198" s="23">
        <f t="shared" si="36"/>
        <v>8.3755856163147346E-2</v>
      </c>
      <c r="V198" s="23">
        <f t="shared" si="42"/>
        <v>2.7918618721049115E-2</v>
      </c>
      <c r="W198" s="23">
        <f t="shared" si="43"/>
        <v>0.25126756848944204</v>
      </c>
    </row>
    <row r="199" spans="1:23" x14ac:dyDescent="0.25">
      <c r="A199" s="19" t="s">
        <v>419</v>
      </c>
      <c r="B199" s="19" t="s">
        <v>420</v>
      </c>
      <c r="C199" s="19" t="s">
        <v>18</v>
      </c>
      <c r="D199" s="19" t="s">
        <v>19</v>
      </c>
      <c r="E199" s="19" t="s">
        <v>469</v>
      </c>
      <c r="F199" s="19" t="s">
        <v>232</v>
      </c>
      <c r="G199" s="24">
        <v>5041995</v>
      </c>
      <c r="H199" s="24">
        <v>6159875</v>
      </c>
      <c r="I199" s="19">
        <v>99.1</v>
      </c>
      <c r="J199" s="24">
        <f t="shared" si="33"/>
        <v>55438.875000000051</v>
      </c>
      <c r="K199" s="36">
        <f t="shared" si="37"/>
        <v>55438.875000000051</v>
      </c>
      <c r="L199" s="23">
        <v>254.00457665903889</v>
      </c>
      <c r="M199" s="23" t="s">
        <v>232</v>
      </c>
      <c r="N199" s="24">
        <f t="shared" si="34"/>
        <v>14081727.974828387</v>
      </c>
      <c r="O199" s="24">
        <f t="shared" si="38"/>
        <v>1137029.125327518</v>
      </c>
      <c r="P199" s="24">
        <f t="shared" si="39"/>
        <v>1705543.6879912768</v>
      </c>
      <c r="Q199" s="24">
        <f t="shared" si="40"/>
        <v>15787271.662819663</v>
      </c>
      <c r="R199" s="36">
        <f t="shared" si="41"/>
        <v>15787271.662819663</v>
      </c>
      <c r="S199" s="24">
        <v>8829721321.8512516</v>
      </c>
      <c r="T199" s="24">
        <f t="shared" si="35"/>
        <v>132445819827.76877</v>
      </c>
      <c r="U199" s="23">
        <f t="shared" si="36"/>
        <v>1.1919796097263979E-4</v>
      </c>
      <c r="V199" s="23">
        <f t="shared" si="42"/>
        <v>3.97326536575466E-5</v>
      </c>
      <c r="W199" s="23">
        <f t="shared" si="43"/>
        <v>3.575938829179194E-4</v>
      </c>
    </row>
    <row r="200" spans="1:23" x14ac:dyDescent="0.25">
      <c r="A200" s="19" t="s">
        <v>421</v>
      </c>
      <c r="B200" s="19" t="s">
        <v>422</v>
      </c>
      <c r="C200" s="19" t="s">
        <v>29</v>
      </c>
      <c r="D200" s="19" t="s">
        <v>35</v>
      </c>
      <c r="E200" s="19" t="s">
        <v>468</v>
      </c>
      <c r="F200" s="19" t="s">
        <v>232</v>
      </c>
      <c r="G200" s="24">
        <v>30993</v>
      </c>
      <c r="H200" s="24">
        <v>40698</v>
      </c>
      <c r="I200" s="19" t="s">
        <v>232</v>
      </c>
      <c r="J200" s="24" t="e">
        <f t="shared" si="33"/>
        <v>#VALUE!</v>
      </c>
      <c r="K200" s="36">
        <f t="shared" si="37"/>
        <v>0</v>
      </c>
      <c r="L200" s="23" t="s">
        <v>232</v>
      </c>
      <c r="M200" s="23" t="s">
        <v>232</v>
      </c>
      <c r="N200" s="24" t="e">
        <f t="shared" si="34"/>
        <v>#VALUE!</v>
      </c>
      <c r="O200" s="24" t="e">
        <f t="shared" si="38"/>
        <v>#VALUE!</v>
      </c>
      <c r="P200" s="24" t="e">
        <f t="shared" si="39"/>
        <v>#VALUE!</v>
      </c>
      <c r="Q200" s="24" t="e">
        <f t="shared" si="40"/>
        <v>#VALUE!</v>
      </c>
      <c r="R200" s="36">
        <f t="shared" si="41"/>
        <v>0</v>
      </c>
      <c r="S200" s="24" t="s">
        <v>232</v>
      </c>
      <c r="T200" s="24" t="e">
        <f t="shared" si="35"/>
        <v>#VALUE!</v>
      </c>
      <c r="U200" s="23" t="e">
        <f t="shared" si="36"/>
        <v>#VALUE!</v>
      </c>
      <c r="V200" s="23" t="e">
        <f t="shared" si="42"/>
        <v>#VALUE!</v>
      </c>
      <c r="W200" s="23" t="e">
        <f t="shared" si="43"/>
        <v>#VALUE!</v>
      </c>
    </row>
    <row r="201" spans="1:23" s="31" customFormat="1" x14ac:dyDescent="0.25">
      <c r="A201" s="31" t="s">
        <v>423</v>
      </c>
      <c r="B201" s="31" t="s">
        <v>424</v>
      </c>
      <c r="C201" s="31" t="s">
        <v>18</v>
      </c>
      <c r="D201" s="31" t="s">
        <v>26</v>
      </c>
      <c r="E201" s="19" t="s">
        <v>232</v>
      </c>
      <c r="F201" s="31" t="s">
        <v>473</v>
      </c>
      <c r="G201" s="30">
        <v>9827</v>
      </c>
      <c r="H201" s="30">
        <v>10707</v>
      </c>
      <c r="I201" s="31">
        <v>83.2</v>
      </c>
      <c r="J201" s="24">
        <f t="shared" si="33"/>
        <v>1798.7759999999992</v>
      </c>
      <c r="K201" s="36">
        <f t="shared" si="37"/>
        <v>1798.7759999999992</v>
      </c>
      <c r="L201" s="29">
        <v>123.43837404437815</v>
      </c>
      <c r="M201" s="29">
        <v>123.43837404437815</v>
      </c>
      <c r="N201" s="24">
        <f t="shared" si="34"/>
        <v>222037.98471005025</v>
      </c>
      <c r="O201" s="24">
        <f t="shared" si="38"/>
        <v>17928.457075413007</v>
      </c>
      <c r="P201" s="24">
        <f t="shared" si="39"/>
        <v>26892.685613119509</v>
      </c>
      <c r="Q201" s="24">
        <f t="shared" si="40"/>
        <v>248930.67032316976</v>
      </c>
      <c r="R201" s="36">
        <f t="shared" si="41"/>
        <v>248930.67032316976</v>
      </c>
      <c r="S201" s="30">
        <v>0</v>
      </c>
      <c r="T201" s="24">
        <f t="shared" si="35"/>
        <v>0</v>
      </c>
      <c r="U201" s="23" t="e">
        <f t="shared" si="36"/>
        <v>#DIV/0!</v>
      </c>
      <c r="V201" s="23" t="e">
        <f t="shared" si="42"/>
        <v>#DIV/0!</v>
      </c>
      <c r="W201" s="23" t="e">
        <f t="shared" si="43"/>
        <v>#DIV/0!</v>
      </c>
    </row>
    <row r="202" spans="1:23" x14ac:dyDescent="0.25">
      <c r="A202" s="19" t="s">
        <v>425</v>
      </c>
      <c r="B202" s="19" t="s">
        <v>426</v>
      </c>
      <c r="C202" s="19" t="s">
        <v>14</v>
      </c>
      <c r="D202" s="19" t="s">
        <v>32</v>
      </c>
      <c r="E202" s="19" t="s">
        <v>467</v>
      </c>
      <c r="F202" s="19" t="s">
        <v>232</v>
      </c>
      <c r="G202" s="24">
        <v>33987213</v>
      </c>
      <c r="H202" s="24">
        <v>63387713</v>
      </c>
      <c r="I202" s="19">
        <v>33.200000000000003</v>
      </c>
      <c r="J202" s="24">
        <f t="shared" si="33"/>
        <v>42342992.283999994</v>
      </c>
      <c r="K202" s="36">
        <f t="shared" si="37"/>
        <v>42342992.283999994</v>
      </c>
      <c r="L202" s="23">
        <v>129.62897338672525</v>
      </c>
      <c r="M202" s="23" t="s">
        <v>232</v>
      </c>
      <c r="N202" s="24">
        <f t="shared" si="34"/>
        <v>5488878619.8969479</v>
      </c>
      <c r="O202" s="24">
        <f t="shared" si="38"/>
        <v>443199504.16357905</v>
      </c>
      <c r="P202" s="24">
        <f t="shared" si="39"/>
        <v>664799256.2453686</v>
      </c>
      <c r="Q202" s="24">
        <f t="shared" si="40"/>
        <v>6153677876.1423168</v>
      </c>
      <c r="R202" s="36">
        <f t="shared" si="41"/>
        <v>6153677876.1423168</v>
      </c>
      <c r="S202" s="24">
        <v>2346264440.3663912</v>
      </c>
      <c r="T202" s="24">
        <f t="shared" si="35"/>
        <v>35193966605.495865</v>
      </c>
      <c r="U202" s="23">
        <f t="shared" si="36"/>
        <v>0.17485036412978136</v>
      </c>
      <c r="V202" s="23">
        <f t="shared" si="42"/>
        <v>5.8283454709927116E-2</v>
      </c>
      <c r="W202" s="23">
        <f t="shared" si="43"/>
        <v>0.52455109238934394</v>
      </c>
    </row>
    <row r="203" spans="1:23" x14ac:dyDescent="0.25">
      <c r="A203" s="19" t="s">
        <v>427</v>
      </c>
      <c r="B203" s="19" t="s">
        <v>428</v>
      </c>
      <c r="C203" s="19" t="s">
        <v>40</v>
      </c>
      <c r="D203" s="19" t="s">
        <v>19</v>
      </c>
      <c r="E203" s="19" t="s">
        <v>232</v>
      </c>
      <c r="F203" s="19" t="s">
        <v>471</v>
      </c>
      <c r="G203" s="24">
        <v>45870700</v>
      </c>
      <c r="H203" s="24">
        <v>39841900</v>
      </c>
      <c r="I203" s="19">
        <v>94.3</v>
      </c>
      <c r="J203" s="24">
        <f t="shared" si="33"/>
        <v>2270988.3000000021</v>
      </c>
      <c r="K203" s="36">
        <f t="shared" si="37"/>
        <v>2270988.3000000021</v>
      </c>
      <c r="L203" s="23">
        <v>76.733547934264351</v>
      </c>
      <c r="M203" s="23">
        <v>76.733547934264351</v>
      </c>
      <c r="N203" s="24">
        <f t="shared" si="34"/>
        <v>174260989.57620367</v>
      </c>
      <c r="O203" s="24">
        <f t="shared" si="38"/>
        <v>14070703.603330566</v>
      </c>
      <c r="P203" s="24">
        <f t="shared" si="39"/>
        <v>21106055.404995851</v>
      </c>
      <c r="Q203" s="24">
        <f t="shared" si="40"/>
        <v>195367044.98119953</v>
      </c>
      <c r="R203" s="36">
        <f t="shared" si="41"/>
        <v>195367044.98119953</v>
      </c>
      <c r="S203" s="24">
        <v>7490439523.5188084</v>
      </c>
      <c r="T203" s="24">
        <f t="shared" si="35"/>
        <v>112356592852.78212</v>
      </c>
      <c r="U203" s="23">
        <f t="shared" si="36"/>
        <v>1.7388124721544717E-3</v>
      </c>
      <c r="V203" s="23">
        <f t="shared" si="42"/>
        <v>5.7960415738482387E-4</v>
      </c>
      <c r="W203" s="23">
        <f t="shared" si="43"/>
        <v>5.2164374164634158E-3</v>
      </c>
    </row>
    <row r="204" spans="1:23" x14ac:dyDescent="0.25">
      <c r="A204" s="19" t="s">
        <v>429</v>
      </c>
      <c r="B204" s="19" t="s">
        <v>430</v>
      </c>
      <c r="C204" s="19" t="s">
        <v>29</v>
      </c>
      <c r="D204" s="19" t="s">
        <v>22</v>
      </c>
      <c r="E204" s="19" t="s">
        <v>474</v>
      </c>
      <c r="F204" s="19" t="s">
        <v>232</v>
      </c>
      <c r="G204" s="24">
        <v>8441537</v>
      </c>
      <c r="H204" s="24">
        <v>12330367</v>
      </c>
      <c r="I204" s="19">
        <v>97.5</v>
      </c>
      <c r="J204" s="24">
        <f t="shared" si="33"/>
        <v>308259.17500000028</v>
      </c>
      <c r="K204" s="36">
        <f t="shared" si="37"/>
        <v>308259.17500000028</v>
      </c>
      <c r="L204" s="23">
        <v>299.84170793083854</v>
      </c>
      <c r="M204" s="23">
        <v>299.84170793083854</v>
      </c>
      <c r="N204" s="24">
        <f t="shared" si="34"/>
        <v>92428957.517351329</v>
      </c>
      <c r="O204" s="24">
        <f t="shared" si="38"/>
        <v>7463176.1747385329</v>
      </c>
      <c r="P204" s="24">
        <f t="shared" si="39"/>
        <v>11194764.262107799</v>
      </c>
      <c r="Q204" s="24">
        <f t="shared" si="40"/>
        <v>103623721.77945913</v>
      </c>
      <c r="R204" s="36">
        <f t="shared" si="41"/>
        <v>103623721.77945913</v>
      </c>
      <c r="S204" s="24">
        <v>62330586907.323227</v>
      </c>
      <c r="T204" s="24">
        <f t="shared" si="35"/>
        <v>934958803609.84839</v>
      </c>
      <c r="U204" s="23">
        <f t="shared" si="36"/>
        <v>1.1083239323419492E-4</v>
      </c>
      <c r="V204" s="23">
        <f t="shared" si="42"/>
        <v>3.6944131078064978E-5</v>
      </c>
      <c r="W204" s="23">
        <f t="shared" si="43"/>
        <v>3.3249717970258475E-4</v>
      </c>
    </row>
    <row r="205" spans="1:23" x14ac:dyDescent="0.25">
      <c r="A205" s="19" t="s">
        <v>431</v>
      </c>
      <c r="B205" s="19" t="s">
        <v>432</v>
      </c>
      <c r="C205" s="19" t="s">
        <v>45</v>
      </c>
      <c r="D205" s="19" t="s">
        <v>19</v>
      </c>
      <c r="E205" s="19" t="s">
        <v>232</v>
      </c>
      <c r="F205" s="19" t="s">
        <v>232</v>
      </c>
      <c r="G205" s="24">
        <v>62766365</v>
      </c>
      <c r="H205" s="24">
        <v>68630898</v>
      </c>
      <c r="I205" s="19">
        <v>100</v>
      </c>
      <c r="J205" s="24">
        <f t="shared" si="33"/>
        <v>0</v>
      </c>
      <c r="K205" s="36">
        <f t="shared" si="37"/>
        <v>0</v>
      </c>
      <c r="L205" s="23" t="s">
        <v>232</v>
      </c>
      <c r="M205" s="23" t="s">
        <v>232</v>
      </c>
      <c r="N205" s="24" t="e">
        <f t="shared" si="34"/>
        <v>#VALUE!</v>
      </c>
      <c r="O205" s="24" t="e">
        <f t="shared" si="38"/>
        <v>#VALUE!</v>
      </c>
      <c r="P205" s="24" t="e">
        <f t="shared" si="39"/>
        <v>#VALUE!</v>
      </c>
      <c r="Q205" s="24" t="e">
        <f t="shared" si="40"/>
        <v>#VALUE!</v>
      </c>
      <c r="R205" s="36">
        <f t="shared" si="41"/>
        <v>0</v>
      </c>
      <c r="S205" s="24">
        <v>35339743590.988991</v>
      </c>
      <c r="T205" s="24">
        <f t="shared" si="35"/>
        <v>530096153864.83484</v>
      </c>
      <c r="U205" s="23" t="e">
        <f t="shared" si="36"/>
        <v>#VALUE!</v>
      </c>
      <c r="V205" s="23" t="e">
        <f t="shared" si="42"/>
        <v>#VALUE!</v>
      </c>
      <c r="W205" s="23" t="e">
        <f t="shared" si="43"/>
        <v>#VALUE!</v>
      </c>
    </row>
    <row r="206" spans="1:23" x14ac:dyDescent="0.25">
      <c r="A206" s="19" t="s">
        <v>433</v>
      </c>
      <c r="B206" s="19" t="s">
        <v>434</v>
      </c>
      <c r="C206" s="19" t="s">
        <v>45</v>
      </c>
      <c r="D206" s="19" t="s">
        <v>69</v>
      </c>
      <c r="E206" s="19" t="s">
        <v>232</v>
      </c>
      <c r="F206" s="19" t="s">
        <v>232</v>
      </c>
      <c r="G206" s="24">
        <v>309326295</v>
      </c>
      <c r="H206" s="24">
        <v>362628830</v>
      </c>
      <c r="I206" s="19">
        <v>99.9</v>
      </c>
      <c r="J206" s="24">
        <f t="shared" si="33"/>
        <v>362628.82999996009</v>
      </c>
      <c r="K206" s="36">
        <f t="shared" si="37"/>
        <v>362628.82999996009</v>
      </c>
      <c r="L206" s="23" t="s">
        <v>232</v>
      </c>
      <c r="M206" s="23" t="s">
        <v>232</v>
      </c>
      <c r="N206" s="24" t="e">
        <f t="shared" si="34"/>
        <v>#VALUE!</v>
      </c>
      <c r="O206" s="24" t="e">
        <f t="shared" si="38"/>
        <v>#VALUE!</v>
      </c>
      <c r="P206" s="24" t="e">
        <f t="shared" si="39"/>
        <v>#VALUE!</v>
      </c>
      <c r="Q206" s="24" t="e">
        <f t="shared" si="40"/>
        <v>#VALUE!</v>
      </c>
      <c r="R206" s="36">
        <f t="shared" si="41"/>
        <v>0</v>
      </c>
      <c r="S206" s="24">
        <v>183742824092.28073</v>
      </c>
      <c r="T206" s="24">
        <f t="shared" si="35"/>
        <v>2756142361384.2109</v>
      </c>
      <c r="U206" s="23" t="e">
        <f t="shared" si="36"/>
        <v>#VALUE!</v>
      </c>
      <c r="V206" s="23" t="e">
        <f t="shared" si="42"/>
        <v>#VALUE!</v>
      </c>
      <c r="W206" s="23" t="e">
        <f t="shared" si="43"/>
        <v>#VALUE!</v>
      </c>
    </row>
    <row r="207" spans="1:23" x14ac:dyDescent="0.25">
      <c r="A207" s="19" t="s">
        <v>435</v>
      </c>
      <c r="B207" s="19" t="s">
        <v>436</v>
      </c>
      <c r="C207" s="19" t="s">
        <v>29</v>
      </c>
      <c r="D207" s="19" t="s">
        <v>35</v>
      </c>
      <c r="E207" s="19" t="s">
        <v>468</v>
      </c>
      <c r="F207" s="19" t="s">
        <v>232</v>
      </c>
      <c r="G207" s="24">
        <v>3371982</v>
      </c>
      <c r="H207" s="24">
        <v>3581432</v>
      </c>
      <c r="I207" s="19">
        <v>96</v>
      </c>
      <c r="J207" s="24">
        <f t="shared" si="33"/>
        <v>143257.28000000012</v>
      </c>
      <c r="K207" s="36">
        <f t="shared" si="37"/>
        <v>143257.28000000012</v>
      </c>
      <c r="L207" s="23">
        <v>253.52112676056339</v>
      </c>
      <c r="M207" s="23" t="s">
        <v>232</v>
      </c>
      <c r="N207" s="24">
        <f t="shared" si="34"/>
        <v>36318747.042253554</v>
      </c>
      <c r="O207" s="24">
        <f t="shared" si="38"/>
        <v>2932557.2299267631</v>
      </c>
      <c r="P207" s="24">
        <f t="shared" si="39"/>
        <v>4398835.8448901447</v>
      </c>
      <c r="Q207" s="24">
        <f t="shared" si="40"/>
        <v>40717582.887143701</v>
      </c>
      <c r="R207" s="36">
        <f t="shared" si="41"/>
        <v>40717582.887143701</v>
      </c>
      <c r="S207" s="24">
        <v>1344798564.3950837</v>
      </c>
      <c r="T207" s="24">
        <f t="shared" si="35"/>
        <v>20171978465.926254</v>
      </c>
      <c r="U207" s="23">
        <f t="shared" si="36"/>
        <v>2.0185220282642235E-3</v>
      </c>
      <c r="V207" s="23">
        <f t="shared" si="42"/>
        <v>6.7284067608807448E-4</v>
      </c>
      <c r="W207" s="23">
        <f t="shared" si="43"/>
        <v>6.0555660847926704E-3</v>
      </c>
    </row>
    <row r="208" spans="1:23" x14ac:dyDescent="0.25">
      <c r="A208" s="19" t="s">
        <v>437</v>
      </c>
      <c r="B208" s="19" t="s">
        <v>438</v>
      </c>
      <c r="C208" s="19" t="s">
        <v>40</v>
      </c>
      <c r="D208" s="19" t="s">
        <v>19</v>
      </c>
      <c r="E208" s="19" t="s">
        <v>469</v>
      </c>
      <c r="F208" s="19" t="s">
        <v>232</v>
      </c>
      <c r="G208" s="24">
        <v>28562400</v>
      </c>
      <c r="H208" s="24">
        <v>34146873</v>
      </c>
      <c r="I208" s="19">
        <v>100</v>
      </c>
      <c r="J208" s="24">
        <f t="shared" si="33"/>
        <v>0</v>
      </c>
      <c r="K208" s="36">
        <f t="shared" si="37"/>
        <v>0</v>
      </c>
      <c r="L208" s="23">
        <v>226.23345367027679</v>
      </c>
      <c r="M208" s="23" t="s">
        <v>232</v>
      </c>
      <c r="N208" s="24">
        <f t="shared" si="34"/>
        <v>0</v>
      </c>
      <c r="O208" s="24">
        <f t="shared" si="38"/>
        <v>0</v>
      </c>
      <c r="P208" s="24">
        <f t="shared" si="39"/>
        <v>0</v>
      </c>
      <c r="Q208" s="24">
        <f t="shared" si="40"/>
        <v>0</v>
      </c>
      <c r="R208" s="36">
        <f t="shared" si="41"/>
        <v>0</v>
      </c>
      <c r="S208" s="24">
        <v>10682101144.876232</v>
      </c>
      <c r="T208" s="24">
        <f t="shared" si="35"/>
        <v>160231517173.14349</v>
      </c>
      <c r="U208" s="23">
        <f t="shared" si="36"/>
        <v>0</v>
      </c>
      <c r="V208" s="23">
        <f t="shared" si="42"/>
        <v>0</v>
      </c>
      <c r="W208" s="23">
        <f t="shared" si="43"/>
        <v>0</v>
      </c>
    </row>
    <row r="209" spans="1:23" x14ac:dyDescent="0.25">
      <c r="A209" s="19" t="s">
        <v>439</v>
      </c>
      <c r="B209" s="19" t="s">
        <v>440</v>
      </c>
      <c r="C209" s="19" t="s">
        <v>40</v>
      </c>
      <c r="D209" s="19" t="s">
        <v>26</v>
      </c>
      <c r="E209" s="19" t="s">
        <v>473</v>
      </c>
      <c r="F209" s="19" t="s">
        <v>232</v>
      </c>
      <c r="G209" s="24">
        <v>236299</v>
      </c>
      <c r="H209" s="24">
        <v>352225</v>
      </c>
      <c r="I209" s="19">
        <v>56.4</v>
      </c>
      <c r="J209" s="24">
        <f t="shared" si="33"/>
        <v>153570.1</v>
      </c>
      <c r="K209" s="36">
        <f t="shared" si="37"/>
        <v>153570.1</v>
      </c>
      <c r="L209" s="23">
        <v>159.42028985507247</v>
      </c>
      <c r="M209" s="23" t="s">
        <v>232</v>
      </c>
      <c r="N209" s="24">
        <f t="shared" si="34"/>
        <v>24482189.855072465</v>
      </c>
      <c r="O209" s="24">
        <f t="shared" si="38"/>
        <v>1976814.419847826</v>
      </c>
      <c r="P209" s="24">
        <f t="shared" si="39"/>
        <v>2965221.6297717392</v>
      </c>
      <c r="Q209" s="24">
        <f t="shared" si="40"/>
        <v>27447411.484844204</v>
      </c>
      <c r="R209" s="36">
        <f t="shared" si="41"/>
        <v>27447411.484844204</v>
      </c>
      <c r="S209" s="24">
        <v>7861829.9212791082</v>
      </c>
      <c r="T209" s="24">
        <f t="shared" si="35"/>
        <v>117927448.81918663</v>
      </c>
      <c r="U209" s="23">
        <f t="shared" si="36"/>
        <v>0.23274828515054377</v>
      </c>
      <c r="V209" s="23">
        <f t="shared" si="42"/>
        <v>7.7582761716847914E-2</v>
      </c>
      <c r="W209" s="23">
        <f t="shared" si="43"/>
        <v>0.69824485545163129</v>
      </c>
    </row>
    <row r="210" spans="1:23" x14ac:dyDescent="0.25">
      <c r="A210" s="19" t="s">
        <v>441</v>
      </c>
      <c r="B210" s="19" t="s">
        <v>442</v>
      </c>
      <c r="C210" s="19" t="s">
        <v>18</v>
      </c>
      <c r="D210" s="19" t="s">
        <v>35</v>
      </c>
      <c r="E210" s="19" t="s">
        <v>468</v>
      </c>
      <c r="F210" s="19" t="s">
        <v>232</v>
      </c>
      <c r="G210" s="24">
        <v>29043283</v>
      </c>
      <c r="H210" s="24">
        <v>37172167</v>
      </c>
      <c r="I210" s="19" t="s">
        <v>232</v>
      </c>
      <c r="J210" s="24" t="e">
        <f t="shared" si="33"/>
        <v>#VALUE!</v>
      </c>
      <c r="K210" s="36">
        <f t="shared" si="37"/>
        <v>0</v>
      </c>
      <c r="L210" s="23" t="s">
        <v>232</v>
      </c>
      <c r="M210" s="23" t="s">
        <v>232</v>
      </c>
      <c r="N210" s="24" t="e">
        <f t="shared" si="34"/>
        <v>#VALUE!</v>
      </c>
      <c r="O210" s="24" t="e">
        <f t="shared" si="38"/>
        <v>#VALUE!</v>
      </c>
      <c r="P210" s="24" t="e">
        <f t="shared" si="39"/>
        <v>#VALUE!</v>
      </c>
      <c r="Q210" s="24" t="e">
        <f t="shared" si="40"/>
        <v>#VALUE!</v>
      </c>
      <c r="R210" s="36">
        <f t="shared" si="41"/>
        <v>0</v>
      </c>
      <c r="S210" s="24">
        <v>80589397008.56813</v>
      </c>
      <c r="T210" s="24">
        <f t="shared" si="35"/>
        <v>1208840955128.522</v>
      </c>
      <c r="U210" s="23" t="e">
        <f t="shared" si="36"/>
        <v>#VALUE!</v>
      </c>
      <c r="V210" s="23" t="e">
        <f t="shared" si="42"/>
        <v>#VALUE!</v>
      </c>
      <c r="W210" s="23" t="e">
        <f t="shared" si="43"/>
        <v>#VALUE!</v>
      </c>
    </row>
    <row r="211" spans="1:23" x14ac:dyDescent="0.25">
      <c r="A211" s="19" t="s">
        <v>443</v>
      </c>
      <c r="B211" s="19" t="s">
        <v>444</v>
      </c>
      <c r="C211" s="19" t="s">
        <v>40</v>
      </c>
      <c r="D211" s="19" t="s">
        <v>26</v>
      </c>
      <c r="E211" s="19" t="s">
        <v>471</v>
      </c>
      <c r="F211" s="19" t="s">
        <v>232</v>
      </c>
      <c r="G211" s="24">
        <v>86932500</v>
      </c>
      <c r="H211" s="24">
        <v>101830324</v>
      </c>
      <c r="I211" s="19">
        <v>71.599999999999994</v>
      </c>
      <c r="J211" s="24">
        <f t="shared" si="33"/>
        <v>28919812.016000003</v>
      </c>
      <c r="K211" s="36">
        <f t="shared" si="37"/>
        <v>28919812.016000003</v>
      </c>
      <c r="L211" s="23">
        <v>76.733547934264351</v>
      </c>
      <c r="M211" s="23">
        <v>76.733547934264351</v>
      </c>
      <c r="N211" s="24">
        <f t="shared" si="34"/>
        <v>2219119781.5796504</v>
      </c>
      <c r="O211" s="24">
        <f t="shared" si="38"/>
        <v>179182826.76364887</v>
      </c>
      <c r="P211" s="24">
        <f t="shared" si="39"/>
        <v>268774240.1454733</v>
      </c>
      <c r="Q211" s="24">
        <f t="shared" si="40"/>
        <v>2487894021.7251239</v>
      </c>
      <c r="R211" s="36">
        <f t="shared" si="41"/>
        <v>2487894021.7251239</v>
      </c>
      <c r="S211" s="24">
        <v>13594414917.099127</v>
      </c>
      <c r="T211" s="24">
        <f t="shared" si="35"/>
        <v>203916223756.48691</v>
      </c>
      <c r="U211" s="23">
        <f t="shared" si="36"/>
        <v>1.2200569311719514E-2</v>
      </c>
      <c r="V211" s="23">
        <f t="shared" si="42"/>
        <v>4.0668564372398379E-3</v>
      </c>
      <c r="W211" s="23">
        <f t="shared" si="43"/>
        <v>3.6601707935158538E-2</v>
      </c>
    </row>
    <row r="212" spans="1:23" x14ac:dyDescent="0.25">
      <c r="A212" s="19" t="s">
        <v>445</v>
      </c>
      <c r="B212" s="19" t="s">
        <v>446</v>
      </c>
      <c r="C212" s="19" t="s">
        <v>29</v>
      </c>
      <c r="D212" s="19" t="s">
        <v>35</v>
      </c>
      <c r="E212" s="19" t="s">
        <v>468</v>
      </c>
      <c r="F212" s="19" t="s">
        <v>232</v>
      </c>
      <c r="G212" s="24">
        <v>106267</v>
      </c>
      <c r="H212" s="24">
        <v>104912</v>
      </c>
      <c r="I212" s="19">
        <v>96.4</v>
      </c>
      <c r="J212" s="24">
        <f t="shared" si="33"/>
        <v>3776.8319999999917</v>
      </c>
      <c r="K212" s="36">
        <f t="shared" si="37"/>
        <v>3776.8319999999917</v>
      </c>
      <c r="L212" s="23">
        <v>271.17101589161985</v>
      </c>
      <c r="M212" s="23">
        <v>271.17101589161985</v>
      </c>
      <c r="N212" s="24">
        <f t="shared" si="34"/>
        <v>1024167.3702919761</v>
      </c>
      <c r="O212" s="24">
        <f t="shared" si="38"/>
        <v>82696.394314225618</v>
      </c>
      <c r="P212" s="24">
        <f t="shared" si="39"/>
        <v>124044.59147133843</v>
      </c>
      <c r="Q212" s="24">
        <f t="shared" si="40"/>
        <v>1148211.9617633147</v>
      </c>
      <c r="R212" s="36">
        <f t="shared" si="41"/>
        <v>1148211.9617633147</v>
      </c>
      <c r="S212" s="24" t="s">
        <v>232</v>
      </c>
      <c r="T212" s="24" t="e">
        <f t="shared" si="35"/>
        <v>#VALUE!</v>
      </c>
      <c r="U212" s="23" t="e">
        <f t="shared" si="36"/>
        <v>#VALUE!</v>
      </c>
      <c r="V212" s="23" t="e">
        <f t="shared" si="42"/>
        <v>#VALUE!</v>
      </c>
      <c r="W212" s="23" t="e">
        <f t="shared" si="43"/>
        <v>#VALUE!</v>
      </c>
    </row>
    <row r="213" spans="1:23" x14ac:dyDescent="0.25">
      <c r="A213" s="19" t="s">
        <v>447</v>
      </c>
      <c r="B213" s="19" t="s">
        <v>448</v>
      </c>
      <c r="C213" s="19" t="s">
        <v>40</v>
      </c>
      <c r="D213" s="19" t="s">
        <v>22</v>
      </c>
      <c r="E213" s="19" t="s">
        <v>232</v>
      </c>
      <c r="F213" s="19" t="s">
        <v>232</v>
      </c>
      <c r="G213" s="24">
        <v>3811102</v>
      </c>
      <c r="H213" s="24" t="s">
        <v>232</v>
      </c>
      <c r="I213" s="19">
        <v>94.3</v>
      </c>
      <c r="J213" s="24" t="e">
        <f t="shared" si="33"/>
        <v>#VALUE!</v>
      </c>
      <c r="K213" s="36">
        <f t="shared" si="37"/>
        <v>0</v>
      </c>
      <c r="L213" s="23" t="s">
        <v>232</v>
      </c>
      <c r="M213" s="23" t="s">
        <v>232</v>
      </c>
      <c r="N213" s="24" t="e">
        <f t="shared" si="34"/>
        <v>#VALUE!</v>
      </c>
      <c r="O213" s="24" t="e">
        <f t="shared" si="38"/>
        <v>#VALUE!</v>
      </c>
      <c r="P213" s="24" t="e">
        <f t="shared" si="39"/>
        <v>#VALUE!</v>
      </c>
      <c r="Q213" s="24" t="e">
        <f t="shared" si="40"/>
        <v>#VALUE!</v>
      </c>
      <c r="R213" s="36">
        <f t="shared" si="41"/>
        <v>0</v>
      </c>
      <c r="S213" s="24" t="s">
        <v>232</v>
      </c>
      <c r="T213" s="24" t="e">
        <f t="shared" si="35"/>
        <v>#VALUE!</v>
      </c>
      <c r="U213" s="23" t="e">
        <f t="shared" si="36"/>
        <v>#VALUE!</v>
      </c>
      <c r="V213" s="23" t="e">
        <f t="shared" si="42"/>
        <v>#VALUE!</v>
      </c>
      <c r="W213" s="23" t="e">
        <f t="shared" si="43"/>
        <v>#VALUE!</v>
      </c>
    </row>
    <row r="214" spans="1:23" x14ac:dyDescent="0.25">
      <c r="A214" s="19" t="s">
        <v>449</v>
      </c>
      <c r="B214" s="19" t="s">
        <v>450</v>
      </c>
      <c r="C214" s="19" t="s">
        <v>40</v>
      </c>
      <c r="D214" s="19" t="s">
        <v>22</v>
      </c>
      <c r="E214" s="19" t="s">
        <v>474</v>
      </c>
      <c r="F214" s="19" t="s">
        <v>232</v>
      </c>
      <c r="G214" s="24">
        <v>22763008</v>
      </c>
      <c r="H214" s="24">
        <v>33991041</v>
      </c>
      <c r="I214" s="19">
        <v>52.7</v>
      </c>
      <c r="J214" s="24">
        <f t="shared" si="33"/>
        <v>16077762.392999999</v>
      </c>
      <c r="K214" s="36">
        <f t="shared" si="37"/>
        <v>16077762.392999999</v>
      </c>
      <c r="L214" s="23">
        <v>299.84170793083854</v>
      </c>
      <c r="M214" s="23">
        <v>299.84170793083854</v>
      </c>
      <c r="N214" s="24">
        <f t="shared" si="34"/>
        <v>4820783735.6233253</v>
      </c>
      <c r="O214" s="24">
        <f t="shared" si="38"/>
        <v>389254182.73290539</v>
      </c>
      <c r="P214" s="24">
        <f t="shared" si="39"/>
        <v>583881274.09935808</v>
      </c>
      <c r="Q214" s="24">
        <f t="shared" si="40"/>
        <v>5404665009.722683</v>
      </c>
      <c r="R214" s="36">
        <f t="shared" si="41"/>
        <v>5404665009.722683</v>
      </c>
      <c r="S214" s="24">
        <v>6972508226.6016922</v>
      </c>
      <c r="T214" s="24">
        <f t="shared" si="35"/>
        <v>104587623399.02539</v>
      </c>
      <c r="U214" s="23">
        <f t="shared" si="36"/>
        <v>5.1675952030219352E-2</v>
      </c>
      <c r="V214" s="23">
        <f t="shared" si="42"/>
        <v>1.722531734340645E-2</v>
      </c>
      <c r="W214" s="23">
        <f t="shared" si="43"/>
        <v>0.15502785609065806</v>
      </c>
    </row>
    <row r="215" spans="1:23" x14ac:dyDescent="0.25">
      <c r="A215" s="19" t="s">
        <v>451</v>
      </c>
      <c r="B215" s="19" t="s">
        <v>452</v>
      </c>
      <c r="C215" s="19" t="s">
        <v>40</v>
      </c>
      <c r="D215" s="19" t="s">
        <v>32</v>
      </c>
      <c r="E215" s="19" t="s">
        <v>467</v>
      </c>
      <c r="F215" s="19" t="s">
        <v>232</v>
      </c>
      <c r="G215" s="24">
        <v>13216985</v>
      </c>
      <c r="H215" s="24">
        <v>24956509</v>
      </c>
      <c r="I215" s="19">
        <v>42.5</v>
      </c>
      <c r="J215" s="24">
        <f t="shared" si="33"/>
        <v>14349992.674999999</v>
      </c>
      <c r="K215" s="36">
        <f t="shared" si="37"/>
        <v>14349992.674999999</v>
      </c>
      <c r="L215" s="23">
        <v>143.32134153417664</v>
      </c>
      <c r="M215" s="23" t="s">
        <v>232</v>
      </c>
      <c r="N215" s="24">
        <f t="shared" si="34"/>
        <v>2056660201.1866078</v>
      </c>
      <c r="O215" s="24">
        <f t="shared" si="38"/>
        <v>166065027.94481266</v>
      </c>
      <c r="P215" s="24">
        <f t="shared" si="39"/>
        <v>249097541.91721898</v>
      </c>
      <c r="Q215" s="24">
        <f t="shared" si="40"/>
        <v>2305757743.103827</v>
      </c>
      <c r="R215" s="36">
        <f t="shared" si="41"/>
        <v>2305757743.103827</v>
      </c>
      <c r="S215" s="24">
        <v>4492889935.3189192</v>
      </c>
      <c r="T215" s="24">
        <f t="shared" si="35"/>
        <v>67393349029.783791</v>
      </c>
      <c r="U215" s="23">
        <f t="shared" si="36"/>
        <v>3.4213431685741293E-2</v>
      </c>
      <c r="V215" s="23">
        <f t="shared" si="42"/>
        <v>1.140447722858043E-2</v>
      </c>
      <c r="W215" s="23">
        <f t="shared" si="43"/>
        <v>0.10264029505722388</v>
      </c>
    </row>
    <row r="216" spans="1:23" x14ac:dyDescent="0.25">
      <c r="A216" s="19" t="s">
        <v>453</v>
      </c>
      <c r="B216" s="19" t="s">
        <v>454</v>
      </c>
      <c r="C216" s="19" t="s">
        <v>14</v>
      </c>
      <c r="D216" s="19" t="s">
        <v>32</v>
      </c>
      <c r="E216" s="19" t="s">
        <v>467</v>
      </c>
      <c r="F216" s="19" t="s">
        <v>232</v>
      </c>
      <c r="G216" s="24">
        <v>13076978</v>
      </c>
      <c r="H216" s="24">
        <v>20292380</v>
      </c>
      <c r="I216" s="19">
        <v>39.9</v>
      </c>
      <c r="J216" s="24">
        <f t="shared" si="33"/>
        <v>12195720.379999999</v>
      </c>
      <c r="K216" s="36">
        <f t="shared" si="37"/>
        <v>12195720.379999999</v>
      </c>
      <c r="L216" s="23">
        <v>56.017748197448697</v>
      </c>
      <c r="M216" s="23" t="s">
        <v>232</v>
      </c>
      <c r="N216" s="24">
        <f t="shared" si="34"/>
        <v>683176793.33333325</v>
      </c>
      <c r="O216" s="24">
        <f t="shared" si="38"/>
        <v>55163110.177699991</v>
      </c>
      <c r="P216" s="24">
        <f t="shared" si="39"/>
        <v>82744665.26654999</v>
      </c>
      <c r="Q216" s="24">
        <f t="shared" si="40"/>
        <v>765921458.5998832</v>
      </c>
      <c r="R216" s="36">
        <f t="shared" si="41"/>
        <v>765921458.5998832</v>
      </c>
      <c r="S216" s="24">
        <v>996384461.46226156</v>
      </c>
      <c r="T216" s="24">
        <f t="shared" si="35"/>
        <v>14945766921.933924</v>
      </c>
      <c r="U216" s="23">
        <f t="shared" si="36"/>
        <v>5.1246715046508698E-2</v>
      </c>
      <c r="V216" s="23">
        <f t="shared" si="42"/>
        <v>1.708223834883623E-2</v>
      </c>
      <c r="W216" s="23">
        <f t="shared" si="43"/>
        <v>0.15374014513952611</v>
      </c>
    </row>
  </sheetData>
  <autoFilter ref="A2:W216"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workbookViewId="0">
      <selection activeCell="B7" sqref="B7"/>
    </sheetView>
  </sheetViews>
  <sheetFormatPr baseColWidth="10" defaultRowHeight="15" x14ac:dyDescent="0.25"/>
  <cols>
    <col min="1" max="1" width="24.5703125" customWidth="1"/>
    <col min="2" max="2" width="59.140625" style="3" bestFit="1" customWidth="1"/>
    <col min="3" max="3" width="40.85546875" style="3" bestFit="1" customWidth="1"/>
  </cols>
  <sheetData>
    <row r="1" spans="1:3" x14ac:dyDescent="0.25">
      <c r="B1" s="4" t="s">
        <v>512</v>
      </c>
      <c r="C1"/>
    </row>
    <row r="2" spans="1:3" x14ac:dyDescent="0.25">
      <c r="A2" s="4" t="s">
        <v>4</v>
      </c>
      <c r="B2" t="s">
        <v>565</v>
      </c>
      <c r="C2" t="s">
        <v>564</v>
      </c>
    </row>
    <row r="3" spans="1:3" x14ac:dyDescent="0.25">
      <c r="A3" t="s">
        <v>26</v>
      </c>
      <c r="B3" s="3">
        <v>753836287.05500007</v>
      </c>
      <c r="C3" s="3">
        <v>88869922285.245529</v>
      </c>
    </row>
    <row r="4" spans="1:3" x14ac:dyDescent="0.25">
      <c r="A4" t="s">
        <v>19</v>
      </c>
      <c r="B4" s="3">
        <v>56495775.493999995</v>
      </c>
      <c r="C4" s="3">
        <v>12344275187.457644</v>
      </c>
    </row>
    <row r="5" spans="1:3" x14ac:dyDescent="0.25">
      <c r="A5" t="s">
        <v>35</v>
      </c>
      <c r="B5" s="3">
        <v>133112704.62599999</v>
      </c>
      <c r="C5" s="3">
        <v>41259154244.385712</v>
      </c>
    </row>
    <row r="6" spans="1:3" x14ac:dyDescent="0.25">
      <c r="A6" t="s">
        <v>22</v>
      </c>
      <c r="B6" s="3">
        <v>57572076.72299999</v>
      </c>
      <c r="C6" s="3">
        <v>13970917213.302017</v>
      </c>
    </row>
    <row r="7" spans="1:3" x14ac:dyDescent="0.25">
      <c r="A7" t="s">
        <v>69</v>
      </c>
      <c r="B7" s="3">
        <v>443862.82399996015</v>
      </c>
      <c r="C7" s="3">
        <v>0</v>
      </c>
    </row>
    <row r="8" spans="1:3" x14ac:dyDescent="0.25">
      <c r="A8" t="s">
        <v>15</v>
      </c>
      <c r="B8" s="3">
        <v>1232667893.3940001</v>
      </c>
      <c r="C8" s="3">
        <v>105213300933.22096</v>
      </c>
    </row>
    <row r="9" spans="1:3" x14ac:dyDescent="0.25">
      <c r="A9" t="s">
        <v>32</v>
      </c>
      <c r="B9" s="3">
        <v>1000119046.402</v>
      </c>
      <c r="C9" s="3">
        <v>151834576701.02872</v>
      </c>
    </row>
    <row r="10" spans="1:3" x14ac:dyDescent="0.25">
      <c r="A10" t="s">
        <v>511</v>
      </c>
      <c r="B10" s="3">
        <v>3234247646.5180001</v>
      </c>
      <c r="C10" s="3">
        <v>413492146564.6405</v>
      </c>
    </row>
    <row r="11" spans="1:3" x14ac:dyDescent="0.25">
      <c r="B11"/>
      <c r="C11"/>
    </row>
    <row r="12" spans="1:3" x14ac:dyDescent="0.25">
      <c r="B12"/>
      <c r="C12"/>
    </row>
    <row r="13" spans="1:3" x14ac:dyDescent="0.25">
      <c r="B13"/>
      <c r="C13"/>
    </row>
    <row r="14" spans="1:3" x14ac:dyDescent="0.25">
      <c r="B14"/>
      <c r="C14"/>
    </row>
    <row r="15" spans="1:3" x14ac:dyDescent="0.25">
      <c r="B15"/>
      <c r="C15"/>
    </row>
    <row r="16" spans="1:3" x14ac:dyDescent="0.25">
      <c r="B16"/>
      <c r="C16"/>
    </row>
    <row r="17" spans="2:3" x14ac:dyDescent="0.25">
      <c r="B17"/>
      <c r="C17"/>
    </row>
    <row r="18" spans="2:3" x14ac:dyDescent="0.25">
      <c r="B18"/>
      <c r="C18"/>
    </row>
    <row r="19" spans="2:3" x14ac:dyDescent="0.25">
      <c r="B19"/>
      <c r="C19"/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16"/>
  <sheetViews>
    <sheetView topLeftCell="F1" zoomScale="80" zoomScaleNormal="80" workbookViewId="0">
      <selection activeCell="G15" sqref="G15"/>
    </sheetView>
  </sheetViews>
  <sheetFormatPr baseColWidth="10" defaultRowHeight="15" x14ac:dyDescent="0.25"/>
  <cols>
    <col min="1" max="1" width="30.85546875" style="19" customWidth="1"/>
    <col min="2" max="2" width="27.42578125" style="19" bestFit="1" customWidth="1"/>
    <col min="3" max="4" width="27.42578125" style="19" customWidth="1"/>
    <col min="5" max="5" width="30" style="24" customWidth="1"/>
    <col min="6" max="6" width="16.5703125" style="21" customWidth="1"/>
    <col min="7" max="7" width="18" style="21" customWidth="1"/>
    <col min="8" max="8" width="24" style="24" customWidth="1"/>
    <col min="9" max="9" width="24" style="36" customWidth="1"/>
    <col min="10" max="10" width="14.42578125" style="19" customWidth="1"/>
    <col min="11" max="11" width="28.42578125" style="19" customWidth="1"/>
    <col min="12" max="12" width="25" style="19" customWidth="1"/>
    <col min="13" max="13" width="20.140625" style="24" customWidth="1"/>
    <col min="14" max="14" width="20.140625" style="36" customWidth="1"/>
    <col min="15" max="15" width="38.5703125" style="24" bestFit="1" customWidth="1"/>
    <col min="16" max="16" width="29.42578125" style="24" customWidth="1"/>
    <col min="17" max="17" width="19.85546875" style="23" customWidth="1"/>
    <col min="18" max="18" width="20.28515625" style="23" bestFit="1" customWidth="1"/>
    <col min="19" max="19" width="21.5703125" style="23" bestFit="1" customWidth="1"/>
    <col min="20" max="258" width="11.42578125" style="19"/>
    <col min="259" max="259" width="30.85546875" style="19" customWidth="1"/>
    <col min="260" max="260" width="27.42578125" style="19" bestFit="1" customWidth="1"/>
    <col min="261" max="262" width="27.42578125" style="19" customWidth="1"/>
    <col min="263" max="263" width="30" style="19" customWidth="1"/>
    <col min="264" max="264" width="30.5703125" style="19" customWidth="1"/>
    <col min="265" max="265" width="37" style="19" customWidth="1"/>
    <col min="266" max="266" width="30.42578125" style="19" customWidth="1"/>
    <col min="267" max="267" width="20.140625" style="19" bestFit="1" customWidth="1"/>
    <col min="268" max="268" width="46.140625" style="19" bestFit="1" customWidth="1"/>
    <col min="269" max="269" width="43.28515625" style="19" bestFit="1" customWidth="1"/>
    <col min="270" max="270" width="20.140625" style="19" customWidth="1"/>
    <col min="271" max="271" width="38.5703125" style="19" bestFit="1" customWidth="1"/>
    <col min="272" max="272" width="29.42578125" style="19" customWidth="1"/>
    <col min="273" max="273" width="19.85546875" style="19" customWidth="1"/>
    <col min="274" max="514" width="11.42578125" style="19"/>
    <col min="515" max="515" width="30.85546875" style="19" customWidth="1"/>
    <col min="516" max="516" width="27.42578125" style="19" bestFit="1" customWidth="1"/>
    <col min="517" max="518" width="27.42578125" style="19" customWidth="1"/>
    <col min="519" max="519" width="30" style="19" customWidth="1"/>
    <col min="520" max="520" width="30.5703125" style="19" customWidth="1"/>
    <col min="521" max="521" width="37" style="19" customWidth="1"/>
    <col min="522" max="522" width="30.42578125" style="19" customWidth="1"/>
    <col min="523" max="523" width="20.140625" style="19" bestFit="1" customWidth="1"/>
    <col min="524" max="524" width="46.140625" style="19" bestFit="1" customWidth="1"/>
    <col min="525" max="525" width="43.28515625" style="19" bestFit="1" customWidth="1"/>
    <col min="526" max="526" width="20.140625" style="19" customWidth="1"/>
    <col min="527" max="527" width="38.5703125" style="19" bestFit="1" customWidth="1"/>
    <col min="528" max="528" width="29.42578125" style="19" customWidth="1"/>
    <col min="529" max="529" width="19.85546875" style="19" customWidth="1"/>
    <col min="530" max="770" width="11.42578125" style="19"/>
    <col min="771" max="771" width="30.85546875" style="19" customWidth="1"/>
    <col min="772" max="772" width="27.42578125" style="19" bestFit="1" customWidth="1"/>
    <col min="773" max="774" width="27.42578125" style="19" customWidth="1"/>
    <col min="775" max="775" width="30" style="19" customWidth="1"/>
    <col min="776" max="776" width="30.5703125" style="19" customWidth="1"/>
    <col min="777" max="777" width="37" style="19" customWidth="1"/>
    <col min="778" max="778" width="30.42578125" style="19" customWidth="1"/>
    <col min="779" max="779" width="20.140625" style="19" bestFit="1" customWidth="1"/>
    <col min="780" max="780" width="46.140625" style="19" bestFit="1" customWidth="1"/>
    <col min="781" max="781" width="43.28515625" style="19" bestFit="1" customWidth="1"/>
    <col min="782" max="782" width="20.140625" style="19" customWidth="1"/>
    <col min="783" max="783" width="38.5703125" style="19" bestFit="1" customWidth="1"/>
    <col min="784" max="784" width="29.42578125" style="19" customWidth="1"/>
    <col min="785" max="785" width="19.85546875" style="19" customWidth="1"/>
    <col min="786" max="1026" width="11.42578125" style="19"/>
    <col min="1027" max="1027" width="30.85546875" style="19" customWidth="1"/>
    <col min="1028" max="1028" width="27.42578125" style="19" bestFit="1" customWidth="1"/>
    <col min="1029" max="1030" width="27.42578125" style="19" customWidth="1"/>
    <col min="1031" max="1031" width="30" style="19" customWidth="1"/>
    <col min="1032" max="1032" width="30.5703125" style="19" customWidth="1"/>
    <col min="1033" max="1033" width="37" style="19" customWidth="1"/>
    <col min="1034" max="1034" width="30.42578125" style="19" customWidth="1"/>
    <col min="1035" max="1035" width="20.140625" style="19" bestFit="1" customWidth="1"/>
    <col min="1036" max="1036" width="46.140625" style="19" bestFit="1" customWidth="1"/>
    <col min="1037" max="1037" width="43.28515625" style="19" bestFit="1" customWidth="1"/>
    <col min="1038" max="1038" width="20.140625" style="19" customWidth="1"/>
    <col min="1039" max="1039" width="38.5703125" style="19" bestFit="1" customWidth="1"/>
    <col min="1040" max="1040" width="29.42578125" style="19" customWidth="1"/>
    <col min="1041" max="1041" width="19.85546875" style="19" customWidth="1"/>
    <col min="1042" max="1282" width="11.42578125" style="19"/>
    <col min="1283" max="1283" width="30.85546875" style="19" customWidth="1"/>
    <col min="1284" max="1284" width="27.42578125" style="19" bestFit="1" customWidth="1"/>
    <col min="1285" max="1286" width="27.42578125" style="19" customWidth="1"/>
    <col min="1287" max="1287" width="30" style="19" customWidth="1"/>
    <col min="1288" max="1288" width="30.5703125" style="19" customWidth="1"/>
    <col min="1289" max="1289" width="37" style="19" customWidth="1"/>
    <col min="1290" max="1290" width="30.42578125" style="19" customWidth="1"/>
    <col min="1291" max="1291" width="20.140625" style="19" bestFit="1" customWidth="1"/>
    <col min="1292" max="1292" width="46.140625" style="19" bestFit="1" customWidth="1"/>
    <col min="1293" max="1293" width="43.28515625" style="19" bestFit="1" customWidth="1"/>
    <col min="1294" max="1294" width="20.140625" style="19" customWidth="1"/>
    <col min="1295" max="1295" width="38.5703125" style="19" bestFit="1" customWidth="1"/>
    <col min="1296" max="1296" width="29.42578125" style="19" customWidth="1"/>
    <col min="1297" max="1297" width="19.85546875" style="19" customWidth="1"/>
    <col min="1298" max="1538" width="11.42578125" style="19"/>
    <col min="1539" max="1539" width="30.85546875" style="19" customWidth="1"/>
    <col min="1540" max="1540" width="27.42578125" style="19" bestFit="1" customWidth="1"/>
    <col min="1541" max="1542" width="27.42578125" style="19" customWidth="1"/>
    <col min="1543" max="1543" width="30" style="19" customWidth="1"/>
    <col min="1544" max="1544" width="30.5703125" style="19" customWidth="1"/>
    <col min="1545" max="1545" width="37" style="19" customWidth="1"/>
    <col min="1546" max="1546" width="30.42578125" style="19" customWidth="1"/>
    <col min="1547" max="1547" width="20.140625" style="19" bestFit="1" customWidth="1"/>
    <col min="1548" max="1548" width="46.140625" style="19" bestFit="1" customWidth="1"/>
    <col min="1549" max="1549" width="43.28515625" style="19" bestFit="1" customWidth="1"/>
    <col min="1550" max="1550" width="20.140625" style="19" customWidth="1"/>
    <col min="1551" max="1551" width="38.5703125" style="19" bestFit="1" customWidth="1"/>
    <col min="1552" max="1552" width="29.42578125" style="19" customWidth="1"/>
    <col min="1553" max="1553" width="19.85546875" style="19" customWidth="1"/>
    <col min="1554" max="1794" width="11.42578125" style="19"/>
    <col min="1795" max="1795" width="30.85546875" style="19" customWidth="1"/>
    <col min="1796" max="1796" width="27.42578125" style="19" bestFit="1" customWidth="1"/>
    <col min="1797" max="1798" width="27.42578125" style="19" customWidth="1"/>
    <col min="1799" max="1799" width="30" style="19" customWidth="1"/>
    <col min="1800" max="1800" width="30.5703125" style="19" customWidth="1"/>
    <col min="1801" max="1801" width="37" style="19" customWidth="1"/>
    <col min="1802" max="1802" width="30.42578125" style="19" customWidth="1"/>
    <col min="1803" max="1803" width="20.140625" style="19" bestFit="1" customWidth="1"/>
    <col min="1804" max="1804" width="46.140625" style="19" bestFit="1" customWidth="1"/>
    <col min="1805" max="1805" width="43.28515625" style="19" bestFit="1" customWidth="1"/>
    <col min="1806" max="1806" width="20.140625" style="19" customWidth="1"/>
    <col min="1807" max="1807" width="38.5703125" style="19" bestFit="1" customWidth="1"/>
    <col min="1808" max="1808" width="29.42578125" style="19" customWidth="1"/>
    <col min="1809" max="1809" width="19.85546875" style="19" customWidth="1"/>
    <col min="1810" max="2050" width="11.42578125" style="19"/>
    <col min="2051" max="2051" width="30.85546875" style="19" customWidth="1"/>
    <col min="2052" max="2052" width="27.42578125" style="19" bestFit="1" customWidth="1"/>
    <col min="2053" max="2054" width="27.42578125" style="19" customWidth="1"/>
    <col min="2055" max="2055" width="30" style="19" customWidth="1"/>
    <col min="2056" max="2056" width="30.5703125" style="19" customWidth="1"/>
    <col min="2057" max="2057" width="37" style="19" customWidth="1"/>
    <col min="2058" max="2058" width="30.42578125" style="19" customWidth="1"/>
    <col min="2059" max="2059" width="20.140625" style="19" bestFit="1" customWidth="1"/>
    <col min="2060" max="2060" width="46.140625" style="19" bestFit="1" customWidth="1"/>
    <col min="2061" max="2061" width="43.28515625" style="19" bestFit="1" customWidth="1"/>
    <col min="2062" max="2062" width="20.140625" style="19" customWidth="1"/>
    <col min="2063" max="2063" width="38.5703125" style="19" bestFit="1" customWidth="1"/>
    <col min="2064" max="2064" width="29.42578125" style="19" customWidth="1"/>
    <col min="2065" max="2065" width="19.85546875" style="19" customWidth="1"/>
    <col min="2066" max="2306" width="11.42578125" style="19"/>
    <col min="2307" max="2307" width="30.85546875" style="19" customWidth="1"/>
    <col min="2308" max="2308" width="27.42578125" style="19" bestFit="1" customWidth="1"/>
    <col min="2309" max="2310" width="27.42578125" style="19" customWidth="1"/>
    <col min="2311" max="2311" width="30" style="19" customWidth="1"/>
    <col min="2312" max="2312" width="30.5703125" style="19" customWidth="1"/>
    <col min="2313" max="2313" width="37" style="19" customWidth="1"/>
    <col min="2314" max="2314" width="30.42578125" style="19" customWidth="1"/>
    <col min="2315" max="2315" width="20.140625" style="19" bestFit="1" customWidth="1"/>
    <col min="2316" max="2316" width="46.140625" style="19" bestFit="1" customWidth="1"/>
    <col min="2317" max="2317" width="43.28515625" style="19" bestFit="1" customWidth="1"/>
    <col min="2318" max="2318" width="20.140625" style="19" customWidth="1"/>
    <col min="2319" max="2319" width="38.5703125" style="19" bestFit="1" customWidth="1"/>
    <col min="2320" max="2320" width="29.42578125" style="19" customWidth="1"/>
    <col min="2321" max="2321" width="19.85546875" style="19" customWidth="1"/>
    <col min="2322" max="2562" width="11.42578125" style="19"/>
    <col min="2563" max="2563" width="30.85546875" style="19" customWidth="1"/>
    <col min="2564" max="2564" width="27.42578125" style="19" bestFit="1" customWidth="1"/>
    <col min="2565" max="2566" width="27.42578125" style="19" customWidth="1"/>
    <col min="2567" max="2567" width="30" style="19" customWidth="1"/>
    <col min="2568" max="2568" width="30.5703125" style="19" customWidth="1"/>
    <col min="2569" max="2569" width="37" style="19" customWidth="1"/>
    <col min="2570" max="2570" width="30.42578125" style="19" customWidth="1"/>
    <col min="2571" max="2571" width="20.140625" style="19" bestFit="1" customWidth="1"/>
    <col min="2572" max="2572" width="46.140625" style="19" bestFit="1" customWidth="1"/>
    <col min="2573" max="2573" width="43.28515625" style="19" bestFit="1" customWidth="1"/>
    <col min="2574" max="2574" width="20.140625" style="19" customWidth="1"/>
    <col min="2575" max="2575" width="38.5703125" style="19" bestFit="1" customWidth="1"/>
    <col min="2576" max="2576" width="29.42578125" style="19" customWidth="1"/>
    <col min="2577" max="2577" width="19.85546875" style="19" customWidth="1"/>
    <col min="2578" max="2818" width="11.42578125" style="19"/>
    <col min="2819" max="2819" width="30.85546875" style="19" customWidth="1"/>
    <col min="2820" max="2820" width="27.42578125" style="19" bestFit="1" customWidth="1"/>
    <col min="2821" max="2822" width="27.42578125" style="19" customWidth="1"/>
    <col min="2823" max="2823" width="30" style="19" customWidth="1"/>
    <col min="2824" max="2824" width="30.5703125" style="19" customWidth="1"/>
    <col min="2825" max="2825" width="37" style="19" customWidth="1"/>
    <col min="2826" max="2826" width="30.42578125" style="19" customWidth="1"/>
    <col min="2827" max="2827" width="20.140625" style="19" bestFit="1" customWidth="1"/>
    <col min="2828" max="2828" width="46.140625" style="19" bestFit="1" customWidth="1"/>
    <col min="2829" max="2829" width="43.28515625" style="19" bestFit="1" customWidth="1"/>
    <col min="2830" max="2830" width="20.140625" style="19" customWidth="1"/>
    <col min="2831" max="2831" width="38.5703125" style="19" bestFit="1" customWidth="1"/>
    <col min="2832" max="2832" width="29.42578125" style="19" customWidth="1"/>
    <col min="2833" max="2833" width="19.85546875" style="19" customWidth="1"/>
    <col min="2834" max="3074" width="11.42578125" style="19"/>
    <col min="3075" max="3075" width="30.85546875" style="19" customWidth="1"/>
    <col min="3076" max="3076" width="27.42578125" style="19" bestFit="1" customWidth="1"/>
    <col min="3077" max="3078" width="27.42578125" style="19" customWidth="1"/>
    <col min="3079" max="3079" width="30" style="19" customWidth="1"/>
    <col min="3080" max="3080" width="30.5703125" style="19" customWidth="1"/>
    <col min="3081" max="3081" width="37" style="19" customWidth="1"/>
    <col min="3082" max="3082" width="30.42578125" style="19" customWidth="1"/>
    <col min="3083" max="3083" width="20.140625" style="19" bestFit="1" customWidth="1"/>
    <col min="3084" max="3084" width="46.140625" style="19" bestFit="1" customWidth="1"/>
    <col min="3085" max="3085" width="43.28515625" style="19" bestFit="1" customWidth="1"/>
    <col min="3086" max="3086" width="20.140625" style="19" customWidth="1"/>
    <col min="3087" max="3087" width="38.5703125" style="19" bestFit="1" customWidth="1"/>
    <col min="3088" max="3088" width="29.42578125" style="19" customWidth="1"/>
    <col min="3089" max="3089" width="19.85546875" style="19" customWidth="1"/>
    <col min="3090" max="3330" width="11.42578125" style="19"/>
    <col min="3331" max="3331" width="30.85546875" style="19" customWidth="1"/>
    <col min="3332" max="3332" width="27.42578125" style="19" bestFit="1" customWidth="1"/>
    <col min="3333" max="3334" width="27.42578125" style="19" customWidth="1"/>
    <col min="3335" max="3335" width="30" style="19" customWidth="1"/>
    <col min="3336" max="3336" width="30.5703125" style="19" customWidth="1"/>
    <col min="3337" max="3337" width="37" style="19" customWidth="1"/>
    <col min="3338" max="3338" width="30.42578125" style="19" customWidth="1"/>
    <col min="3339" max="3339" width="20.140625" style="19" bestFit="1" customWidth="1"/>
    <col min="3340" max="3340" width="46.140625" style="19" bestFit="1" customWidth="1"/>
    <col min="3341" max="3341" width="43.28515625" style="19" bestFit="1" customWidth="1"/>
    <col min="3342" max="3342" width="20.140625" style="19" customWidth="1"/>
    <col min="3343" max="3343" width="38.5703125" style="19" bestFit="1" customWidth="1"/>
    <col min="3344" max="3344" width="29.42578125" style="19" customWidth="1"/>
    <col min="3345" max="3345" width="19.85546875" style="19" customWidth="1"/>
    <col min="3346" max="3586" width="11.42578125" style="19"/>
    <col min="3587" max="3587" width="30.85546875" style="19" customWidth="1"/>
    <col min="3588" max="3588" width="27.42578125" style="19" bestFit="1" customWidth="1"/>
    <col min="3589" max="3590" width="27.42578125" style="19" customWidth="1"/>
    <col min="3591" max="3591" width="30" style="19" customWidth="1"/>
    <col min="3592" max="3592" width="30.5703125" style="19" customWidth="1"/>
    <col min="3593" max="3593" width="37" style="19" customWidth="1"/>
    <col min="3594" max="3594" width="30.42578125" style="19" customWidth="1"/>
    <col min="3595" max="3595" width="20.140625" style="19" bestFit="1" customWidth="1"/>
    <col min="3596" max="3596" width="46.140625" style="19" bestFit="1" customWidth="1"/>
    <col min="3597" max="3597" width="43.28515625" style="19" bestFit="1" customWidth="1"/>
    <col min="3598" max="3598" width="20.140625" style="19" customWidth="1"/>
    <col min="3599" max="3599" width="38.5703125" style="19" bestFit="1" customWidth="1"/>
    <col min="3600" max="3600" width="29.42578125" style="19" customWidth="1"/>
    <col min="3601" max="3601" width="19.85546875" style="19" customWidth="1"/>
    <col min="3602" max="3842" width="11.42578125" style="19"/>
    <col min="3843" max="3843" width="30.85546875" style="19" customWidth="1"/>
    <col min="3844" max="3844" width="27.42578125" style="19" bestFit="1" customWidth="1"/>
    <col min="3845" max="3846" width="27.42578125" style="19" customWidth="1"/>
    <col min="3847" max="3847" width="30" style="19" customWidth="1"/>
    <col min="3848" max="3848" width="30.5703125" style="19" customWidth="1"/>
    <col min="3849" max="3849" width="37" style="19" customWidth="1"/>
    <col min="3850" max="3850" width="30.42578125" style="19" customWidth="1"/>
    <col min="3851" max="3851" width="20.140625" style="19" bestFit="1" customWidth="1"/>
    <col min="3852" max="3852" width="46.140625" style="19" bestFit="1" customWidth="1"/>
    <col min="3853" max="3853" width="43.28515625" style="19" bestFit="1" customWidth="1"/>
    <col min="3854" max="3854" width="20.140625" style="19" customWidth="1"/>
    <col min="3855" max="3855" width="38.5703125" style="19" bestFit="1" customWidth="1"/>
    <col min="3856" max="3856" width="29.42578125" style="19" customWidth="1"/>
    <col min="3857" max="3857" width="19.85546875" style="19" customWidth="1"/>
    <col min="3858" max="4098" width="11.42578125" style="19"/>
    <col min="4099" max="4099" width="30.85546875" style="19" customWidth="1"/>
    <col min="4100" max="4100" width="27.42578125" style="19" bestFit="1" customWidth="1"/>
    <col min="4101" max="4102" width="27.42578125" style="19" customWidth="1"/>
    <col min="4103" max="4103" width="30" style="19" customWidth="1"/>
    <col min="4104" max="4104" width="30.5703125" style="19" customWidth="1"/>
    <col min="4105" max="4105" width="37" style="19" customWidth="1"/>
    <col min="4106" max="4106" width="30.42578125" style="19" customWidth="1"/>
    <col min="4107" max="4107" width="20.140625" style="19" bestFit="1" customWidth="1"/>
    <col min="4108" max="4108" width="46.140625" style="19" bestFit="1" customWidth="1"/>
    <col min="4109" max="4109" width="43.28515625" style="19" bestFit="1" customWidth="1"/>
    <col min="4110" max="4110" width="20.140625" style="19" customWidth="1"/>
    <col min="4111" max="4111" width="38.5703125" style="19" bestFit="1" customWidth="1"/>
    <col min="4112" max="4112" width="29.42578125" style="19" customWidth="1"/>
    <col min="4113" max="4113" width="19.85546875" style="19" customWidth="1"/>
    <col min="4114" max="4354" width="11.42578125" style="19"/>
    <col min="4355" max="4355" width="30.85546875" style="19" customWidth="1"/>
    <col min="4356" max="4356" width="27.42578125" style="19" bestFit="1" customWidth="1"/>
    <col min="4357" max="4358" width="27.42578125" style="19" customWidth="1"/>
    <col min="4359" max="4359" width="30" style="19" customWidth="1"/>
    <col min="4360" max="4360" width="30.5703125" style="19" customWidth="1"/>
    <col min="4361" max="4361" width="37" style="19" customWidth="1"/>
    <col min="4362" max="4362" width="30.42578125" style="19" customWidth="1"/>
    <col min="4363" max="4363" width="20.140625" style="19" bestFit="1" customWidth="1"/>
    <col min="4364" max="4364" width="46.140625" style="19" bestFit="1" customWidth="1"/>
    <col min="4365" max="4365" width="43.28515625" style="19" bestFit="1" customWidth="1"/>
    <col min="4366" max="4366" width="20.140625" style="19" customWidth="1"/>
    <col min="4367" max="4367" width="38.5703125" style="19" bestFit="1" customWidth="1"/>
    <col min="4368" max="4368" width="29.42578125" style="19" customWidth="1"/>
    <col min="4369" max="4369" width="19.85546875" style="19" customWidth="1"/>
    <col min="4370" max="4610" width="11.42578125" style="19"/>
    <col min="4611" max="4611" width="30.85546875" style="19" customWidth="1"/>
    <col min="4612" max="4612" width="27.42578125" style="19" bestFit="1" customWidth="1"/>
    <col min="4613" max="4614" width="27.42578125" style="19" customWidth="1"/>
    <col min="4615" max="4615" width="30" style="19" customWidth="1"/>
    <col min="4616" max="4616" width="30.5703125" style="19" customWidth="1"/>
    <col min="4617" max="4617" width="37" style="19" customWidth="1"/>
    <col min="4618" max="4618" width="30.42578125" style="19" customWidth="1"/>
    <col min="4619" max="4619" width="20.140625" style="19" bestFit="1" customWidth="1"/>
    <col min="4620" max="4620" width="46.140625" style="19" bestFit="1" customWidth="1"/>
    <col min="4621" max="4621" width="43.28515625" style="19" bestFit="1" customWidth="1"/>
    <col min="4622" max="4622" width="20.140625" style="19" customWidth="1"/>
    <col min="4623" max="4623" width="38.5703125" style="19" bestFit="1" customWidth="1"/>
    <col min="4624" max="4624" width="29.42578125" style="19" customWidth="1"/>
    <col min="4625" max="4625" width="19.85546875" style="19" customWidth="1"/>
    <col min="4626" max="4866" width="11.42578125" style="19"/>
    <col min="4867" max="4867" width="30.85546875" style="19" customWidth="1"/>
    <col min="4868" max="4868" width="27.42578125" style="19" bestFit="1" customWidth="1"/>
    <col min="4869" max="4870" width="27.42578125" style="19" customWidth="1"/>
    <col min="4871" max="4871" width="30" style="19" customWidth="1"/>
    <col min="4872" max="4872" width="30.5703125" style="19" customWidth="1"/>
    <col min="4873" max="4873" width="37" style="19" customWidth="1"/>
    <col min="4874" max="4874" width="30.42578125" style="19" customWidth="1"/>
    <col min="4875" max="4875" width="20.140625" style="19" bestFit="1" customWidth="1"/>
    <col min="4876" max="4876" width="46.140625" style="19" bestFit="1" customWidth="1"/>
    <col min="4877" max="4877" width="43.28515625" style="19" bestFit="1" customWidth="1"/>
    <col min="4878" max="4878" width="20.140625" style="19" customWidth="1"/>
    <col min="4879" max="4879" width="38.5703125" style="19" bestFit="1" customWidth="1"/>
    <col min="4880" max="4880" width="29.42578125" style="19" customWidth="1"/>
    <col min="4881" max="4881" width="19.85546875" style="19" customWidth="1"/>
    <col min="4882" max="5122" width="11.42578125" style="19"/>
    <col min="5123" max="5123" width="30.85546875" style="19" customWidth="1"/>
    <col min="5124" max="5124" width="27.42578125" style="19" bestFit="1" customWidth="1"/>
    <col min="5125" max="5126" width="27.42578125" style="19" customWidth="1"/>
    <col min="5127" max="5127" width="30" style="19" customWidth="1"/>
    <col min="5128" max="5128" width="30.5703125" style="19" customWidth="1"/>
    <col min="5129" max="5129" width="37" style="19" customWidth="1"/>
    <col min="5130" max="5130" width="30.42578125" style="19" customWidth="1"/>
    <col min="5131" max="5131" width="20.140625" style="19" bestFit="1" customWidth="1"/>
    <col min="5132" max="5132" width="46.140625" style="19" bestFit="1" customWidth="1"/>
    <col min="5133" max="5133" width="43.28515625" style="19" bestFit="1" customWidth="1"/>
    <col min="5134" max="5134" width="20.140625" style="19" customWidth="1"/>
    <col min="5135" max="5135" width="38.5703125" style="19" bestFit="1" customWidth="1"/>
    <col min="5136" max="5136" width="29.42578125" style="19" customWidth="1"/>
    <col min="5137" max="5137" width="19.85546875" style="19" customWidth="1"/>
    <col min="5138" max="5378" width="11.42578125" style="19"/>
    <col min="5379" max="5379" width="30.85546875" style="19" customWidth="1"/>
    <col min="5380" max="5380" width="27.42578125" style="19" bestFit="1" customWidth="1"/>
    <col min="5381" max="5382" width="27.42578125" style="19" customWidth="1"/>
    <col min="5383" max="5383" width="30" style="19" customWidth="1"/>
    <col min="5384" max="5384" width="30.5703125" style="19" customWidth="1"/>
    <col min="5385" max="5385" width="37" style="19" customWidth="1"/>
    <col min="5386" max="5386" width="30.42578125" style="19" customWidth="1"/>
    <col min="5387" max="5387" width="20.140625" style="19" bestFit="1" customWidth="1"/>
    <col min="5388" max="5388" width="46.140625" style="19" bestFit="1" customWidth="1"/>
    <col min="5389" max="5389" width="43.28515625" style="19" bestFit="1" customWidth="1"/>
    <col min="5390" max="5390" width="20.140625" style="19" customWidth="1"/>
    <col min="5391" max="5391" width="38.5703125" style="19" bestFit="1" customWidth="1"/>
    <col min="5392" max="5392" width="29.42578125" style="19" customWidth="1"/>
    <col min="5393" max="5393" width="19.85546875" style="19" customWidth="1"/>
    <col min="5394" max="5634" width="11.42578125" style="19"/>
    <col min="5635" max="5635" width="30.85546875" style="19" customWidth="1"/>
    <col min="5636" max="5636" width="27.42578125" style="19" bestFit="1" customWidth="1"/>
    <col min="5637" max="5638" width="27.42578125" style="19" customWidth="1"/>
    <col min="5639" max="5639" width="30" style="19" customWidth="1"/>
    <col min="5640" max="5640" width="30.5703125" style="19" customWidth="1"/>
    <col min="5641" max="5641" width="37" style="19" customWidth="1"/>
    <col min="5642" max="5642" width="30.42578125" style="19" customWidth="1"/>
    <col min="5643" max="5643" width="20.140625" style="19" bestFit="1" customWidth="1"/>
    <col min="5644" max="5644" width="46.140625" style="19" bestFit="1" customWidth="1"/>
    <col min="5645" max="5645" width="43.28515625" style="19" bestFit="1" customWidth="1"/>
    <col min="5646" max="5646" width="20.140625" style="19" customWidth="1"/>
    <col min="5647" max="5647" width="38.5703125" style="19" bestFit="1" customWidth="1"/>
    <col min="5648" max="5648" width="29.42578125" style="19" customWidth="1"/>
    <col min="5649" max="5649" width="19.85546875" style="19" customWidth="1"/>
    <col min="5650" max="5890" width="11.42578125" style="19"/>
    <col min="5891" max="5891" width="30.85546875" style="19" customWidth="1"/>
    <col min="5892" max="5892" width="27.42578125" style="19" bestFit="1" customWidth="1"/>
    <col min="5893" max="5894" width="27.42578125" style="19" customWidth="1"/>
    <col min="5895" max="5895" width="30" style="19" customWidth="1"/>
    <col min="5896" max="5896" width="30.5703125" style="19" customWidth="1"/>
    <col min="5897" max="5897" width="37" style="19" customWidth="1"/>
    <col min="5898" max="5898" width="30.42578125" style="19" customWidth="1"/>
    <col min="5899" max="5899" width="20.140625" style="19" bestFit="1" customWidth="1"/>
    <col min="5900" max="5900" width="46.140625" style="19" bestFit="1" customWidth="1"/>
    <col min="5901" max="5901" width="43.28515625" style="19" bestFit="1" customWidth="1"/>
    <col min="5902" max="5902" width="20.140625" style="19" customWidth="1"/>
    <col min="5903" max="5903" width="38.5703125" style="19" bestFit="1" customWidth="1"/>
    <col min="5904" max="5904" width="29.42578125" style="19" customWidth="1"/>
    <col min="5905" max="5905" width="19.85546875" style="19" customWidth="1"/>
    <col min="5906" max="6146" width="11.42578125" style="19"/>
    <col min="6147" max="6147" width="30.85546875" style="19" customWidth="1"/>
    <col min="6148" max="6148" width="27.42578125" style="19" bestFit="1" customWidth="1"/>
    <col min="6149" max="6150" width="27.42578125" style="19" customWidth="1"/>
    <col min="6151" max="6151" width="30" style="19" customWidth="1"/>
    <col min="6152" max="6152" width="30.5703125" style="19" customWidth="1"/>
    <col min="6153" max="6153" width="37" style="19" customWidth="1"/>
    <col min="6154" max="6154" width="30.42578125" style="19" customWidth="1"/>
    <col min="6155" max="6155" width="20.140625" style="19" bestFit="1" customWidth="1"/>
    <col min="6156" max="6156" width="46.140625" style="19" bestFit="1" customWidth="1"/>
    <col min="6157" max="6157" width="43.28515625" style="19" bestFit="1" customWidth="1"/>
    <col min="6158" max="6158" width="20.140625" style="19" customWidth="1"/>
    <col min="6159" max="6159" width="38.5703125" style="19" bestFit="1" customWidth="1"/>
    <col min="6160" max="6160" width="29.42578125" style="19" customWidth="1"/>
    <col min="6161" max="6161" width="19.85546875" style="19" customWidth="1"/>
    <col min="6162" max="6402" width="11.42578125" style="19"/>
    <col min="6403" max="6403" width="30.85546875" style="19" customWidth="1"/>
    <col min="6404" max="6404" width="27.42578125" style="19" bestFit="1" customWidth="1"/>
    <col min="6405" max="6406" width="27.42578125" style="19" customWidth="1"/>
    <col min="6407" max="6407" width="30" style="19" customWidth="1"/>
    <col min="6408" max="6408" width="30.5703125" style="19" customWidth="1"/>
    <col min="6409" max="6409" width="37" style="19" customWidth="1"/>
    <col min="6410" max="6410" width="30.42578125" style="19" customWidth="1"/>
    <col min="6411" max="6411" width="20.140625" style="19" bestFit="1" customWidth="1"/>
    <col min="6412" max="6412" width="46.140625" style="19" bestFit="1" customWidth="1"/>
    <col min="6413" max="6413" width="43.28515625" style="19" bestFit="1" customWidth="1"/>
    <col min="6414" max="6414" width="20.140625" style="19" customWidth="1"/>
    <col min="6415" max="6415" width="38.5703125" style="19" bestFit="1" customWidth="1"/>
    <col min="6416" max="6416" width="29.42578125" style="19" customWidth="1"/>
    <col min="6417" max="6417" width="19.85546875" style="19" customWidth="1"/>
    <col min="6418" max="6658" width="11.42578125" style="19"/>
    <col min="6659" max="6659" width="30.85546875" style="19" customWidth="1"/>
    <col min="6660" max="6660" width="27.42578125" style="19" bestFit="1" customWidth="1"/>
    <col min="6661" max="6662" width="27.42578125" style="19" customWidth="1"/>
    <col min="6663" max="6663" width="30" style="19" customWidth="1"/>
    <col min="6664" max="6664" width="30.5703125" style="19" customWidth="1"/>
    <col min="6665" max="6665" width="37" style="19" customWidth="1"/>
    <col min="6666" max="6666" width="30.42578125" style="19" customWidth="1"/>
    <col min="6667" max="6667" width="20.140625" style="19" bestFit="1" customWidth="1"/>
    <col min="6668" max="6668" width="46.140625" style="19" bestFit="1" customWidth="1"/>
    <col min="6669" max="6669" width="43.28515625" style="19" bestFit="1" customWidth="1"/>
    <col min="6670" max="6670" width="20.140625" style="19" customWidth="1"/>
    <col min="6671" max="6671" width="38.5703125" style="19" bestFit="1" customWidth="1"/>
    <col min="6672" max="6672" width="29.42578125" style="19" customWidth="1"/>
    <col min="6673" max="6673" width="19.85546875" style="19" customWidth="1"/>
    <col min="6674" max="6914" width="11.42578125" style="19"/>
    <col min="6915" max="6915" width="30.85546875" style="19" customWidth="1"/>
    <col min="6916" max="6916" width="27.42578125" style="19" bestFit="1" customWidth="1"/>
    <col min="6917" max="6918" width="27.42578125" style="19" customWidth="1"/>
    <col min="6919" max="6919" width="30" style="19" customWidth="1"/>
    <col min="6920" max="6920" width="30.5703125" style="19" customWidth="1"/>
    <col min="6921" max="6921" width="37" style="19" customWidth="1"/>
    <col min="6922" max="6922" width="30.42578125" style="19" customWidth="1"/>
    <col min="6923" max="6923" width="20.140625" style="19" bestFit="1" customWidth="1"/>
    <col min="6924" max="6924" width="46.140625" style="19" bestFit="1" customWidth="1"/>
    <col min="6925" max="6925" width="43.28515625" style="19" bestFit="1" customWidth="1"/>
    <col min="6926" max="6926" width="20.140625" style="19" customWidth="1"/>
    <col min="6927" max="6927" width="38.5703125" style="19" bestFit="1" customWidth="1"/>
    <col min="6928" max="6928" width="29.42578125" style="19" customWidth="1"/>
    <col min="6929" max="6929" width="19.85546875" style="19" customWidth="1"/>
    <col min="6930" max="7170" width="11.42578125" style="19"/>
    <col min="7171" max="7171" width="30.85546875" style="19" customWidth="1"/>
    <col min="7172" max="7172" width="27.42578125" style="19" bestFit="1" customWidth="1"/>
    <col min="7173" max="7174" width="27.42578125" style="19" customWidth="1"/>
    <col min="7175" max="7175" width="30" style="19" customWidth="1"/>
    <col min="7176" max="7176" width="30.5703125" style="19" customWidth="1"/>
    <col min="7177" max="7177" width="37" style="19" customWidth="1"/>
    <col min="7178" max="7178" width="30.42578125" style="19" customWidth="1"/>
    <col min="7179" max="7179" width="20.140625" style="19" bestFit="1" customWidth="1"/>
    <col min="7180" max="7180" width="46.140625" style="19" bestFit="1" customWidth="1"/>
    <col min="7181" max="7181" width="43.28515625" style="19" bestFit="1" customWidth="1"/>
    <col min="7182" max="7182" width="20.140625" style="19" customWidth="1"/>
    <col min="7183" max="7183" width="38.5703125" style="19" bestFit="1" customWidth="1"/>
    <col min="7184" max="7184" width="29.42578125" style="19" customWidth="1"/>
    <col min="7185" max="7185" width="19.85546875" style="19" customWidth="1"/>
    <col min="7186" max="7426" width="11.42578125" style="19"/>
    <col min="7427" max="7427" width="30.85546875" style="19" customWidth="1"/>
    <col min="7428" max="7428" width="27.42578125" style="19" bestFit="1" customWidth="1"/>
    <col min="7429" max="7430" width="27.42578125" style="19" customWidth="1"/>
    <col min="7431" max="7431" width="30" style="19" customWidth="1"/>
    <col min="7432" max="7432" width="30.5703125" style="19" customWidth="1"/>
    <col min="7433" max="7433" width="37" style="19" customWidth="1"/>
    <col min="7434" max="7434" width="30.42578125" style="19" customWidth="1"/>
    <col min="7435" max="7435" width="20.140625" style="19" bestFit="1" customWidth="1"/>
    <col min="7436" max="7436" width="46.140625" style="19" bestFit="1" customWidth="1"/>
    <col min="7437" max="7437" width="43.28515625" style="19" bestFit="1" customWidth="1"/>
    <col min="7438" max="7438" width="20.140625" style="19" customWidth="1"/>
    <col min="7439" max="7439" width="38.5703125" style="19" bestFit="1" customWidth="1"/>
    <col min="7440" max="7440" width="29.42578125" style="19" customWidth="1"/>
    <col min="7441" max="7441" width="19.85546875" style="19" customWidth="1"/>
    <col min="7442" max="7682" width="11.42578125" style="19"/>
    <col min="7683" max="7683" width="30.85546875" style="19" customWidth="1"/>
    <col min="7684" max="7684" width="27.42578125" style="19" bestFit="1" customWidth="1"/>
    <col min="7685" max="7686" width="27.42578125" style="19" customWidth="1"/>
    <col min="7687" max="7687" width="30" style="19" customWidth="1"/>
    <col min="7688" max="7688" width="30.5703125" style="19" customWidth="1"/>
    <col min="7689" max="7689" width="37" style="19" customWidth="1"/>
    <col min="7690" max="7690" width="30.42578125" style="19" customWidth="1"/>
    <col min="7691" max="7691" width="20.140625" style="19" bestFit="1" customWidth="1"/>
    <col min="7692" max="7692" width="46.140625" style="19" bestFit="1" customWidth="1"/>
    <col min="7693" max="7693" width="43.28515625" style="19" bestFit="1" customWidth="1"/>
    <col min="7694" max="7694" width="20.140625" style="19" customWidth="1"/>
    <col min="7695" max="7695" width="38.5703125" style="19" bestFit="1" customWidth="1"/>
    <col min="7696" max="7696" width="29.42578125" style="19" customWidth="1"/>
    <col min="7697" max="7697" width="19.85546875" style="19" customWidth="1"/>
    <col min="7698" max="7938" width="11.42578125" style="19"/>
    <col min="7939" max="7939" width="30.85546875" style="19" customWidth="1"/>
    <col min="7940" max="7940" width="27.42578125" style="19" bestFit="1" customWidth="1"/>
    <col min="7941" max="7942" width="27.42578125" style="19" customWidth="1"/>
    <col min="7943" max="7943" width="30" style="19" customWidth="1"/>
    <col min="7944" max="7944" width="30.5703125" style="19" customWidth="1"/>
    <col min="7945" max="7945" width="37" style="19" customWidth="1"/>
    <col min="7946" max="7946" width="30.42578125" style="19" customWidth="1"/>
    <col min="7947" max="7947" width="20.140625" style="19" bestFit="1" customWidth="1"/>
    <col min="7948" max="7948" width="46.140625" style="19" bestFit="1" customWidth="1"/>
    <col min="7949" max="7949" width="43.28515625" style="19" bestFit="1" customWidth="1"/>
    <col min="7950" max="7950" width="20.140625" style="19" customWidth="1"/>
    <col min="7951" max="7951" width="38.5703125" style="19" bestFit="1" customWidth="1"/>
    <col min="7952" max="7952" width="29.42578125" style="19" customWidth="1"/>
    <col min="7953" max="7953" width="19.85546875" style="19" customWidth="1"/>
    <col min="7954" max="8194" width="11.42578125" style="19"/>
    <col min="8195" max="8195" width="30.85546875" style="19" customWidth="1"/>
    <col min="8196" max="8196" width="27.42578125" style="19" bestFit="1" customWidth="1"/>
    <col min="8197" max="8198" width="27.42578125" style="19" customWidth="1"/>
    <col min="8199" max="8199" width="30" style="19" customWidth="1"/>
    <col min="8200" max="8200" width="30.5703125" style="19" customWidth="1"/>
    <col min="8201" max="8201" width="37" style="19" customWidth="1"/>
    <col min="8202" max="8202" width="30.42578125" style="19" customWidth="1"/>
    <col min="8203" max="8203" width="20.140625" style="19" bestFit="1" customWidth="1"/>
    <col min="8204" max="8204" width="46.140625" style="19" bestFit="1" customWidth="1"/>
    <col min="8205" max="8205" width="43.28515625" style="19" bestFit="1" customWidth="1"/>
    <col min="8206" max="8206" width="20.140625" style="19" customWidth="1"/>
    <col min="8207" max="8207" width="38.5703125" style="19" bestFit="1" customWidth="1"/>
    <col min="8208" max="8208" width="29.42578125" style="19" customWidth="1"/>
    <col min="8209" max="8209" width="19.85546875" style="19" customWidth="1"/>
    <col min="8210" max="8450" width="11.42578125" style="19"/>
    <col min="8451" max="8451" width="30.85546875" style="19" customWidth="1"/>
    <col min="8452" max="8452" width="27.42578125" style="19" bestFit="1" customWidth="1"/>
    <col min="8453" max="8454" width="27.42578125" style="19" customWidth="1"/>
    <col min="8455" max="8455" width="30" style="19" customWidth="1"/>
    <col min="8456" max="8456" width="30.5703125" style="19" customWidth="1"/>
    <col min="8457" max="8457" width="37" style="19" customWidth="1"/>
    <col min="8458" max="8458" width="30.42578125" style="19" customWidth="1"/>
    <col min="8459" max="8459" width="20.140625" style="19" bestFit="1" customWidth="1"/>
    <col min="8460" max="8460" width="46.140625" style="19" bestFit="1" customWidth="1"/>
    <col min="8461" max="8461" width="43.28515625" style="19" bestFit="1" customWidth="1"/>
    <col min="8462" max="8462" width="20.140625" style="19" customWidth="1"/>
    <col min="8463" max="8463" width="38.5703125" style="19" bestFit="1" customWidth="1"/>
    <col min="8464" max="8464" width="29.42578125" style="19" customWidth="1"/>
    <col min="8465" max="8465" width="19.85546875" style="19" customWidth="1"/>
    <col min="8466" max="8706" width="11.42578125" style="19"/>
    <col min="8707" max="8707" width="30.85546875" style="19" customWidth="1"/>
    <col min="8708" max="8708" width="27.42578125" style="19" bestFit="1" customWidth="1"/>
    <col min="8709" max="8710" width="27.42578125" style="19" customWidth="1"/>
    <col min="8711" max="8711" width="30" style="19" customWidth="1"/>
    <col min="8712" max="8712" width="30.5703125" style="19" customWidth="1"/>
    <col min="8713" max="8713" width="37" style="19" customWidth="1"/>
    <col min="8714" max="8714" width="30.42578125" style="19" customWidth="1"/>
    <col min="8715" max="8715" width="20.140625" style="19" bestFit="1" customWidth="1"/>
    <col min="8716" max="8716" width="46.140625" style="19" bestFit="1" customWidth="1"/>
    <col min="8717" max="8717" width="43.28515625" style="19" bestFit="1" customWidth="1"/>
    <col min="8718" max="8718" width="20.140625" style="19" customWidth="1"/>
    <col min="8719" max="8719" width="38.5703125" style="19" bestFit="1" customWidth="1"/>
    <col min="8720" max="8720" width="29.42578125" style="19" customWidth="1"/>
    <col min="8721" max="8721" width="19.85546875" style="19" customWidth="1"/>
    <col min="8722" max="8962" width="11.42578125" style="19"/>
    <col min="8963" max="8963" width="30.85546875" style="19" customWidth="1"/>
    <col min="8964" max="8964" width="27.42578125" style="19" bestFit="1" customWidth="1"/>
    <col min="8965" max="8966" width="27.42578125" style="19" customWidth="1"/>
    <col min="8967" max="8967" width="30" style="19" customWidth="1"/>
    <col min="8968" max="8968" width="30.5703125" style="19" customWidth="1"/>
    <col min="8969" max="8969" width="37" style="19" customWidth="1"/>
    <col min="8970" max="8970" width="30.42578125" style="19" customWidth="1"/>
    <col min="8971" max="8971" width="20.140625" style="19" bestFit="1" customWidth="1"/>
    <col min="8972" max="8972" width="46.140625" style="19" bestFit="1" customWidth="1"/>
    <col min="8973" max="8973" width="43.28515625" style="19" bestFit="1" customWidth="1"/>
    <col min="8974" max="8974" width="20.140625" style="19" customWidth="1"/>
    <col min="8975" max="8975" width="38.5703125" style="19" bestFit="1" customWidth="1"/>
    <col min="8976" max="8976" width="29.42578125" style="19" customWidth="1"/>
    <col min="8977" max="8977" width="19.85546875" style="19" customWidth="1"/>
    <col min="8978" max="9218" width="11.42578125" style="19"/>
    <col min="9219" max="9219" width="30.85546875" style="19" customWidth="1"/>
    <col min="9220" max="9220" width="27.42578125" style="19" bestFit="1" customWidth="1"/>
    <col min="9221" max="9222" width="27.42578125" style="19" customWidth="1"/>
    <col min="9223" max="9223" width="30" style="19" customWidth="1"/>
    <col min="9224" max="9224" width="30.5703125" style="19" customWidth="1"/>
    <col min="9225" max="9225" width="37" style="19" customWidth="1"/>
    <col min="9226" max="9226" width="30.42578125" style="19" customWidth="1"/>
    <col min="9227" max="9227" width="20.140625" style="19" bestFit="1" customWidth="1"/>
    <col min="9228" max="9228" width="46.140625" style="19" bestFit="1" customWidth="1"/>
    <col min="9229" max="9229" width="43.28515625" style="19" bestFit="1" customWidth="1"/>
    <col min="9230" max="9230" width="20.140625" style="19" customWidth="1"/>
    <col min="9231" max="9231" width="38.5703125" style="19" bestFit="1" customWidth="1"/>
    <col min="9232" max="9232" width="29.42578125" style="19" customWidth="1"/>
    <col min="9233" max="9233" width="19.85546875" style="19" customWidth="1"/>
    <col min="9234" max="9474" width="11.42578125" style="19"/>
    <col min="9475" max="9475" width="30.85546875" style="19" customWidth="1"/>
    <col min="9476" max="9476" width="27.42578125" style="19" bestFit="1" customWidth="1"/>
    <col min="9477" max="9478" width="27.42578125" style="19" customWidth="1"/>
    <col min="9479" max="9479" width="30" style="19" customWidth="1"/>
    <col min="9480" max="9480" width="30.5703125" style="19" customWidth="1"/>
    <col min="9481" max="9481" width="37" style="19" customWidth="1"/>
    <col min="9482" max="9482" width="30.42578125" style="19" customWidth="1"/>
    <col min="9483" max="9483" width="20.140625" style="19" bestFit="1" customWidth="1"/>
    <col min="9484" max="9484" width="46.140625" style="19" bestFit="1" customWidth="1"/>
    <col min="9485" max="9485" width="43.28515625" style="19" bestFit="1" customWidth="1"/>
    <col min="9486" max="9486" width="20.140625" style="19" customWidth="1"/>
    <col min="9487" max="9487" width="38.5703125" style="19" bestFit="1" customWidth="1"/>
    <col min="9488" max="9488" width="29.42578125" style="19" customWidth="1"/>
    <col min="9489" max="9489" width="19.85546875" style="19" customWidth="1"/>
    <col min="9490" max="9730" width="11.42578125" style="19"/>
    <col min="9731" max="9731" width="30.85546875" style="19" customWidth="1"/>
    <col min="9732" max="9732" width="27.42578125" style="19" bestFit="1" customWidth="1"/>
    <col min="9733" max="9734" width="27.42578125" style="19" customWidth="1"/>
    <col min="9735" max="9735" width="30" style="19" customWidth="1"/>
    <col min="9736" max="9736" width="30.5703125" style="19" customWidth="1"/>
    <col min="9737" max="9737" width="37" style="19" customWidth="1"/>
    <col min="9738" max="9738" width="30.42578125" style="19" customWidth="1"/>
    <col min="9739" max="9739" width="20.140625" style="19" bestFit="1" customWidth="1"/>
    <col min="9740" max="9740" width="46.140625" style="19" bestFit="1" customWidth="1"/>
    <col min="9741" max="9741" width="43.28515625" style="19" bestFit="1" customWidth="1"/>
    <col min="9742" max="9742" width="20.140625" style="19" customWidth="1"/>
    <col min="9743" max="9743" width="38.5703125" style="19" bestFit="1" customWidth="1"/>
    <col min="9744" max="9744" width="29.42578125" style="19" customWidth="1"/>
    <col min="9745" max="9745" width="19.85546875" style="19" customWidth="1"/>
    <col min="9746" max="9986" width="11.42578125" style="19"/>
    <col min="9987" max="9987" width="30.85546875" style="19" customWidth="1"/>
    <col min="9988" max="9988" width="27.42578125" style="19" bestFit="1" customWidth="1"/>
    <col min="9989" max="9990" width="27.42578125" style="19" customWidth="1"/>
    <col min="9991" max="9991" width="30" style="19" customWidth="1"/>
    <col min="9992" max="9992" width="30.5703125" style="19" customWidth="1"/>
    <col min="9993" max="9993" width="37" style="19" customWidth="1"/>
    <col min="9994" max="9994" width="30.42578125" style="19" customWidth="1"/>
    <col min="9995" max="9995" width="20.140625" style="19" bestFit="1" customWidth="1"/>
    <col min="9996" max="9996" width="46.140625" style="19" bestFit="1" customWidth="1"/>
    <col min="9997" max="9997" width="43.28515625" style="19" bestFit="1" customWidth="1"/>
    <col min="9998" max="9998" width="20.140625" style="19" customWidth="1"/>
    <col min="9999" max="9999" width="38.5703125" style="19" bestFit="1" customWidth="1"/>
    <col min="10000" max="10000" width="29.42578125" style="19" customWidth="1"/>
    <col min="10001" max="10001" width="19.85546875" style="19" customWidth="1"/>
    <col min="10002" max="10242" width="11.42578125" style="19"/>
    <col min="10243" max="10243" width="30.85546875" style="19" customWidth="1"/>
    <col min="10244" max="10244" width="27.42578125" style="19" bestFit="1" customWidth="1"/>
    <col min="10245" max="10246" width="27.42578125" style="19" customWidth="1"/>
    <col min="10247" max="10247" width="30" style="19" customWidth="1"/>
    <col min="10248" max="10248" width="30.5703125" style="19" customWidth="1"/>
    <col min="10249" max="10249" width="37" style="19" customWidth="1"/>
    <col min="10250" max="10250" width="30.42578125" style="19" customWidth="1"/>
    <col min="10251" max="10251" width="20.140625" style="19" bestFit="1" customWidth="1"/>
    <col min="10252" max="10252" width="46.140625" style="19" bestFit="1" customWidth="1"/>
    <col min="10253" max="10253" width="43.28515625" style="19" bestFit="1" customWidth="1"/>
    <col min="10254" max="10254" width="20.140625" style="19" customWidth="1"/>
    <col min="10255" max="10255" width="38.5703125" style="19" bestFit="1" customWidth="1"/>
    <col min="10256" max="10256" width="29.42578125" style="19" customWidth="1"/>
    <col min="10257" max="10257" width="19.85546875" style="19" customWidth="1"/>
    <col min="10258" max="10498" width="11.42578125" style="19"/>
    <col min="10499" max="10499" width="30.85546875" style="19" customWidth="1"/>
    <col min="10500" max="10500" width="27.42578125" style="19" bestFit="1" customWidth="1"/>
    <col min="10501" max="10502" width="27.42578125" style="19" customWidth="1"/>
    <col min="10503" max="10503" width="30" style="19" customWidth="1"/>
    <col min="10504" max="10504" width="30.5703125" style="19" customWidth="1"/>
    <col min="10505" max="10505" width="37" style="19" customWidth="1"/>
    <col min="10506" max="10506" width="30.42578125" style="19" customWidth="1"/>
    <col min="10507" max="10507" width="20.140625" style="19" bestFit="1" customWidth="1"/>
    <col min="10508" max="10508" width="46.140625" style="19" bestFit="1" customWidth="1"/>
    <col min="10509" max="10509" width="43.28515625" style="19" bestFit="1" customWidth="1"/>
    <col min="10510" max="10510" width="20.140625" style="19" customWidth="1"/>
    <col min="10511" max="10511" width="38.5703125" style="19" bestFit="1" customWidth="1"/>
    <col min="10512" max="10512" width="29.42578125" style="19" customWidth="1"/>
    <col min="10513" max="10513" width="19.85546875" style="19" customWidth="1"/>
    <col min="10514" max="10754" width="11.42578125" style="19"/>
    <col min="10755" max="10755" width="30.85546875" style="19" customWidth="1"/>
    <col min="10756" max="10756" width="27.42578125" style="19" bestFit="1" customWidth="1"/>
    <col min="10757" max="10758" width="27.42578125" style="19" customWidth="1"/>
    <col min="10759" max="10759" width="30" style="19" customWidth="1"/>
    <col min="10760" max="10760" width="30.5703125" style="19" customWidth="1"/>
    <col min="10761" max="10761" width="37" style="19" customWidth="1"/>
    <col min="10762" max="10762" width="30.42578125" style="19" customWidth="1"/>
    <col min="10763" max="10763" width="20.140625" style="19" bestFit="1" customWidth="1"/>
    <col min="10764" max="10764" width="46.140625" style="19" bestFit="1" customWidth="1"/>
    <col min="10765" max="10765" width="43.28515625" style="19" bestFit="1" customWidth="1"/>
    <col min="10766" max="10766" width="20.140625" style="19" customWidth="1"/>
    <col min="10767" max="10767" width="38.5703125" style="19" bestFit="1" customWidth="1"/>
    <col min="10768" max="10768" width="29.42578125" style="19" customWidth="1"/>
    <col min="10769" max="10769" width="19.85546875" style="19" customWidth="1"/>
    <col min="10770" max="11010" width="11.42578125" style="19"/>
    <col min="11011" max="11011" width="30.85546875" style="19" customWidth="1"/>
    <col min="11012" max="11012" width="27.42578125" style="19" bestFit="1" customWidth="1"/>
    <col min="11013" max="11014" width="27.42578125" style="19" customWidth="1"/>
    <col min="11015" max="11015" width="30" style="19" customWidth="1"/>
    <col min="11016" max="11016" width="30.5703125" style="19" customWidth="1"/>
    <col min="11017" max="11017" width="37" style="19" customWidth="1"/>
    <col min="11018" max="11018" width="30.42578125" style="19" customWidth="1"/>
    <col min="11019" max="11019" width="20.140625" style="19" bestFit="1" customWidth="1"/>
    <col min="11020" max="11020" width="46.140625" style="19" bestFit="1" customWidth="1"/>
    <col min="11021" max="11021" width="43.28515625" style="19" bestFit="1" customWidth="1"/>
    <col min="11022" max="11022" width="20.140625" style="19" customWidth="1"/>
    <col min="11023" max="11023" width="38.5703125" style="19" bestFit="1" customWidth="1"/>
    <col min="11024" max="11024" width="29.42578125" style="19" customWidth="1"/>
    <col min="11025" max="11025" width="19.85546875" style="19" customWidth="1"/>
    <col min="11026" max="11266" width="11.42578125" style="19"/>
    <col min="11267" max="11267" width="30.85546875" style="19" customWidth="1"/>
    <col min="11268" max="11268" width="27.42578125" style="19" bestFit="1" customWidth="1"/>
    <col min="11269" max="11270" width="27.42578125" style="19" customWidth="1"/>
    <col min="11271" max="11271" width="30" style="19" customWidth="1"/>
    <col min="11272" max="11272" width="30.5703125" style="19" customWidth="1"/>
    <col min="11273" max="11273" width="37" style="19" customWidth="1"/>
    <col min="11274" max="11274" width="30.42578125" style="19" customWidth="1"/>
    <col min="11275" max="11275" width="20.140625" style="19" bestFit="1" customWidth="1"/>
    <col min="11276" max="11276" width="46.140625" style="19" bestFit="1" customWidth="1"/>
    <col min="11277" max="11277" width="43.28515625" style="19" bestFit="1" customWidth="1"/>
    <col min="11278" max="11278" width="20.140625" style="19" customWidth="1"/>
    <col min="11279" max="11279" width="38.5703125" style="19" bestFit="1" customWidth="1"/>
    <col min="11280" max="11280" width="29.42578125" style="19" customWidth="1"/>
    <col min="11281" max="11281" width="19.85546875" style="19" customWidth="1"/>
    <col min="11282" max="11522" width="11.42578125" style="19"/>
    <col min="11523" max="11523" width="30.85546875" style="19" customWidth="1"/>
    <col min="11524" max="11524" width="27.42578125" style="19" bestFit="1" customWidth="1"/>
    <col min="11525" max="11526" width="27.42578125" style="19" customWidth="1"/>
    <col min="11527" max="11527" width="30" style="19" customWidth="1"/>
    <col min="11528" max="11528" width="30.5703125" style="19" customWidth="1"/>
    <col min="11529" max="11529" width="37" style="19" customWidth="1"/>
    <col min="11530" max="11530" width="30.42578125" style="19" customWidth="1"/>
    <col min="11531" max="11531" width="20.140625" style="19" bestFit="1" customWidth="1"/>
    <col min="11532" max="11532" width="46.140625" style="19" bestFit="1" customWidth="1"/>
    <col min="11533" max="11533" width="43.28515625" style="19" bestFit="1" customWidth="1"/>
    <col min="11534" max="11534" width="20.140625" style="19" customWidth="1"/>
    <col min="11535" max="11535" width="38.5703125" style="19" bestFit="1" customWidth="1"/>
    <col min="11536" max="11536" width="29.42578125" style="19" customWidth="1"/>
    <col min="11537" max="11537" width="19.85546875" style="19" customWidth="1"/>
    <col min="11538" max="11778" width="11.42578125" style="19"/>
    <col min="11779" max="11779" width="30.85546875" style="19" customWidth="1"/>
    <col min="11780" max="11780" width="27.42578125" style="19" bestFit="1" customWidth="1"/>
    <col min="11781" max="11782" width="27.42578125" style="19" customWidth="1"/>
    <col min="11783" max="11783" width="30" style="19" customWidth="1"/>
    <col min="11784" max="11784" width="30.5703125" style="19" customWidth="1"/>
    <col min="11785" max="11785" width="37" style="19" customWidth="1"/>
    <col min="11786" max="11786" width="30.42578125" style="19" customWidth="1"/>
    <col min="11787" max="11787" width="20.140625" style="19" bestFit="1" customWidth="1"/>
    <col min="11788" max="11788" width="46.140625" style="19" bestFit="1" customWidth="1"/>
    <col min="11789" max="11789" width="43.28515625" style="19" bestFit="1" customWidth="1"/>
    <col min="11790" max="11790" width="20.140625" style="19" customWidth="1"/>
    <col min="11791" max="11791" width="38.5703125" style="19" bestFit="1" customWidth="1"/>
    <col min="11792" max="11792" width="29.42578125" style="19" customWidth="1"/>
    <col min="11793" max="11793" width="19.85546875" style="19" customWidth="1"/>
    <col min="11794" max="12034" width="11.42578125" style="19"/>
    <col min="12035" max="12035" width="30.85546875" style="19" customWidth="1"/>
    <col min="12036" max="12036" width="27.42578125" style="19" bestFit="1" customWidth="1"/>
    <col min="12037" max="12038" width="27.42578125" style="19" customWidth="1"/>
    <col min="12039" max="12039" width="30" style="19" customWidth="1"/>
    <col min="12040" max="12040" width="30.5703125" style="19" customWidth="1"/>
    <col min="12041" max="12041" width="37" style="19" customWidth="1"/>
    <col min="12042" max="12042" width="30.42578125" style="19" customWidth="1"/>
    <col min="12043" max="12043" width="20.140625" style="19" bestFit="1" customWidth="1"/>
    <col min="12044" max="12044" width="46.140625" style="19" bestFit="1" customWidth="1"/>
    <col min="12045" max="12045" width="43.28515625" style="19" bestFit="1" customWidth="1"/>
    <col min="12046" max="12046" width="20.140625" style="19" customWidth="1"/>
    <col min="12047" max="12047" width="38.5703125" style="19" bestFit="1" customWidth="1"/>
    <col min="12048" max="12048" width="29.42578125" style="19" customWidth="1"/>
    <col min="12049" max="12049" width="19.85546875" style="19" customWidth="1"/>
    <col min="12050" max="12290" width="11.42578125" style="19"/>
    <col min="12291" max="12291" width="30.85546875" style="19" customWidth="1"/>
    <col min="12292" max="12292" width="27.42578125" style="19" bestFit="1" customWidth="1"/>
    <col min="12293" max="12294" width="27.42578125" style="19" customWidth="1"/>
    <col min="12295" max="12295" width="30" style="19" customWidth="1"/>
    <col min="12296" max="12296" width="30.5703125" style="19" customWidth="1"/>
    <col min="12297" max="12297" width="37" style="19" customWidth="1"/>
    <col min="12298" max="12298" width="30.42578125" style="19" customWidth="1"/>
    <col min="12299" max="12299" width="20.140625" style="19" bestFit="1" customWidth="1"/>
    <col min="12300" max="12300" width="46.140625" style="19" bestFit="1" customWidth="1"/>
    <col min="12301" max="12301" width="43.28515625" style="19" bestFit="1" customWidth="1"/>
    <col min="12302" max="12302" width="20.140625" style="19" customWidth="1"/>
    <col min="12303" max="12303" width="38.5703125" style="19" bestFit="1" customWidth="1"/>
    <col min="12304" max="12304" width="29.42578125" style="19" customWidth="1"/>
    <col min="12305" max="12305" width="19.85546875" style="19" customWidth="1"/>
    <col min="12306" max="12546" width="11.42578125" style="19"/>
    <col min="12547" max="12547" width="30.85546875" style="19" customWidth="1"/>
    <col min="12548" max="12548" width="27.42578125" style="19" bestFit="1" customWidth="1"/>
    <col min="12549" max="12550" width="27.42578125" style="19" customWidth="1"/>
    <col min="12551" max="12551" width="30" style="19" customWidth="1"/>
    <col min="12552" max="12552" width="30.5703125" style="19" customWidth="1"/>
    <col min="12553" max="12553" width="37" style="19" customWidth="1"/>
    <col min="12554" max="12554" width="30.42578125" style="19" customWidth="1"/>
    <col min="12555" max="12555" width="20.140625" style="19" bestFit="1" customWidth="1"/>
    <col min="12556" max="12556" width="46.140625" style="19" bestFit="1" customWidth="1"/>
    <col min="12557" max="12557" width="43.28515625" style="19" bestFit="1" customWidth="1"/>
    <col min="12558" max="12558" width="20.140625" style="19" customWidth="1"/>
    <col min="12559" max="12559" width="38.5703125" style="19" bestFit="1" customWidth="1"/>
    <col min="12560" max="12560" width="29.42578125" style="19" customWidth="1"/>
    <col min="12561" max="12561" width="19.85546875" style="19" customWidth="1"/>
    <col min="12562" max="12802" width="11.42578125" style="19"/>
    <col min="12803" max="12803" width="30.85546875" style="19" customWidth="1"/>
    <col min="12804" max="12804" width="27.42578125" style="19" bestFit="1" customWidth="1"/>
    <col min="12805" max="12806" width="27.42578125" style="19" customWidth="1"/>
    <col min="12807" max="12807" width="30" style="19" customWidth="1"/>
    <col min="12808" max="12808" width="30.5703125" style="19" customWidth="1"/>
    <col min="12809" max="12809" width="37" style="19" customWidth="1"/>
    <col min="12810" max="12810" width="30.42578125" style="19" customWidth="1"/>
    <col min="12811" max="12811" width="20.140625" style="19" bestFit="1" customWidth="1"/>
    <col min="12812" max="12812" width="46.140625" style="19" bestFit="1" customWidth="1"/>
    <col min="12813" max="12813" width="43.28515625" style="19" bestFit="1" customWidth="1"/>
    <col min="12814" max="12814" width="20.140625" style="19" customWidth="1"/>
    <col min="12815" max="12815" width="38.5703125" style="19" bestFit="1" customWidth="1"/>
    <col min="12816" max="12816" width="29.42578125" style="19" customWidth="1"/>
    <col min="12817" max="12817" width="19.85546875" style="19" customWidth="1"/>
    <col min="12818" max="13058" width="11.42578125" style="19"/>
    <col min="13059" max="13059" width="30.85546875" style="19" customWidth="1"/>
    <col min="13060" max="13060" width="27.42578125" style="19" bestFit="1" customWidth="1"/>
    <col min="13061" max="13062" width="27.42578125" style="19" customWidth="1"/>
    <col min="13063" max="13063" width="30" style="19" customWidth="1"/>
    <col min="13064" max="13064" width="30.5703125" style="19" customWidth="1"/>
    <col min="13065" max="13065" width="37" style="19" customWidth="1"/>
    <col min="13066" max="13066" width="30.42578125" style="19" customWidth="1"/>
    <col min="13067" max="13067" width="20.140625" style="19" bestFit="1" customWidth="1"/>
    <col min="13068" max="13068" width="46.140625" style="19" bestFit="1" customWidth="1"/>
    <col min="13069" max="13069" width="43.28515625" style="19" bestFit="1" customWidth="1"/>
    <col min="13070" max="13070" width="20.140625" style="19" customWidth="1"/>
    <col min="13071" max="13071" width="38.5703125" style="19" bestFit="1" customWidth="1"/>
    <col min="13072" max="13072" width="29.42578125" style="19" customWidth="1"/>
    <col min="13073" max="13073" width="19.85546875" style="19" customWidth="1"/>
    <col min="13074" max="13314" width="11.42578125" style="19"/>
    <col min="13315" max="13315" width="30.85546875" style="19" customWidth="1"/>
    <col min="13316" max="13316" width="27.42578125" style="19" bestFit="1" customWidth="1"/>
    <col min="13317" max="13318" width="27.42578125" style="19" customWidth="1"/>
    <col min="13319" max="13319" width="30" style="19" customWidth="1"/>
    <col min="13320" max="13320" width="30.5703125" style="19" customWidth="1"/>
    <col min="13321" max="13321" width="37" style="19" customWidth="1"/>
    <col min="13322" max="13322" width="30.42578125" style="19" customWidth="1"/>
    <col min="13323" max="13323" width="20.140625" style="19" bestFit="1" customWidth="1"/>
    <col min="13324" max="13324" width="46.140625" style="19" bestFit="1" customWidth="1"/>
    <col min="13325" max="13325" width="43.28515625" style="19" bestFit="1" customWidth="1"/>
    <col min="13326" max="13326" width="20.140625" style="19" customWidth="1"/>
    <col min="13327" max="13327" width="38.5703125" style="19" bestFit="1" customWidth="1"/>
    <col min="13328" max="13328" width="29.42578125" style="19" customWidth="1"/>
    <col min="13329" max="13329" width="19.85546875" style="19" customWidth="1"/>
    <col min="13330" max="13570" width="11.42578125" style="19"/>
    <col min="13571" max="13571" width="30.85546875" style="19" customWidth="1"/>
    <col min="13572" max="13572" width="27.42578125" style="19" bestFit="1" customWidth="1"/>
    <col min="13573" max="13574" width="27.42578125" style="19" customWidth="1"/>
    <col min="13575" max="13575" width="30" style="19" customWidth="1"/>
    <col min="13576" max="13576" width="30.5703125" style="19" customWidth="1"/>
    <col min="13577" max="13577" width="37" style="19" customWidth="1"/>
    <col min="13578" max="13578" width="30.42578125" style="19" customWidth="1"/>
    <col min="13579" max="13579" width="20.140625" style="19" bestFit="1" customWidth="1"/>
    <col min="13580" max="13580" width="46.140625" style="19" bestFit="1" customWidth="1"/>
    <col min="13581" max="13581" width="43.28515625" style="19" bestFit="1" customWidth="1"/>
    <col min="13582" max="13582" width="20.140625" style="19" customWidth="1"/>
    <col min="13583" max="13583" width="38.5703125" style="19" bestFit="1" customWidth="1"/>
    <col min="13584" max="13584" width="29.42578125" style="19" customWidth="1"/>
    <col min="13585" max="13585" width="19.85546875" style="19" customWidth="1"/>
    <col min="13586" max="13826" width="11.42578125" style="19"/>
    <col min="13827" max="13827" width="30.85546875" style="19" customWidth="1"/>
    <col min="13828" max="13828" width="27.42578125" style="19" bestFit="1" customWidth="1"/>
    <col min="13829" max="13830" width="27.42578125" style="19" customWidth="1"/>
    <col min="13831" max="13831" width="30" style="19" customWidth="1"/>
    <col min="13832" max="13832" width="30.5703125" style="19" customWidth="1"/>
    <col min="13833" max="13833" width="37" style="19" customWidth="1"/>
    <col min="13834" max="13834" width="30.42578125" style="19" customWidth="1"/>
    <col min="13835" max="13835" width="20.140625" style="19" bestFit="1" customWidth="1"/>
    <col min="13836" max="13836" width="46.140625" style="19" bestFit="1" customWidth="1"/>
    <col min="13837" max="13837" width="43.28515625" style="19" bestFit="1" customWidth="1"/>
    <col min="13838" max="13838" width="20.140625" style="19" customWidth="1"/>
    <col min="13839" max="13839" width="38.5703125" style="19" bestFit="1" customWidth="1"/>
    <col min="13840" max="13840" width="29.42578125" style="19" customWidth="1"/>
    <col min="13841" max="13841" width="19.85546875" style="19" customWidth="1"/>
    <col min="13842" max="14082" width="11.42578125" style="19"/>
    <col min="14083" max="14083" width="30.85546875" style="19" customWidth="1"/>
    <col min="14084" max="14084" width="27.42578125" style="19" bestFit="1" customWidth="1"/>
    <col min="14085" max="14086" width="27.42578125" style="19" customWidth="1"/>
    <col min="14087" max="14087" width="30" style="19" customWidth="1"/>
    <col min="14088" max="14088" width="30.5703125" style="19" customWidth="1"/>
    <col min="14089" max="14089" width="37" style="19" customWidth="1"/>
    <col min="14090" max="14090" width="30.42578125" style="19" customWidth="1"/>
    <col min="14091" max="14091" width="20.140625" style="19" bestFit="1" customWidth="1"/>
    <col min="14092" max="14092" width="46.140625" style="19" bestFit="1" customWidth="1"/>
    <col min="14093" max="14093" width="43.28515625" style="19" bestFit="1" customWidth="1"/>
    <col min="14094" max="14094" width="20.140625" style="19" customWidth="1"/>
    <col min="14095" max="14095" width="38.5703125" style="19" bestFit="1" customWidth="1"/>
    <col min="14096" max="14096" width="29.42578125" style="19" customWidth="1"/>
    <col min="14097" max="14097" width="19.85546875" style="19" customWidth="1"/>
    <col min="14098" max="14338" width="11.42578125" style="19"/>
    <col min="14339" max="14339" width="30.85546875" style="19" customWidth="1"/>
    <col min="14340" max="14340" width="27.42578125" style="19" bestFit="1" customWidth="1"/>
    <col min="14341" max="14342" width="27.42578125" style="19" customWidth="1"/>
    <col min="14343" max="14343" width="30" style="19" customWidth="1"/>
    <col min="14344" max="14344" width="30.5703125" style="19" customWidth="1"/>
    <col min="14345" max="14345" width="37" style="19" customWidth="1"/>
    <col min="14346" max="14346" width="30.42578125" style="19" customWidth="1"/>
    <col min="14347" max="14347" width="20.140625" style="19" bestFit="1" customWidth="1"/>
    <col min="14348" max="14348" width="46.140625" style="19" bestFit="1" customWidth="1"/>
    <col min="14349" max="14349" width="43.28515625" style="19" bestFit="1" customWidth="1"/>
    <col min="14350" max="14350" width="20.140625" style="19" customWidth="1"/>
    <col min="14351" max="14351" width="38.5703125" style="19" bestFit="1" customWidth="1"/>
    <col min="14352" max="14352" width="29.42578125" style="19" customWidth="1"/>
    <col min="14353" max="14353" width="19.85546875" style="19" customWidth="1"/>
    <col min="14354" max="14594" width="11.42578125" style="19"/>
    <col min="14595" max="14595" width="30.85546875" style="19" customWidth="1"/>
    <col min="14596" max="14596" width="27.42578125" style="19" bestFit="1" customWidth="1"/>
    <col min="14597" max="14598" width="27.42578125" style="19" customWidth="1"/>
    <col min="14599" max="14599" width="30" style="19" customWidth="1"/>
    <col min="14600" max="14600" width="30.5703125" style="19" customWidth="1"/>
    <col min="14601" max="14601" width="37" style="19" customWidth="1"/>
    <col min="14602" max="14602" width="30.42578125" style="19" customWidth="1"/>
    <col min="14603" max="14603" width="20.140625" style="19" bestFit="1" customWidth="1"/>
    <col min="14604" max="14604" width="46.140625" style="19" bestFit="1" customWidth="1"/>
    <col min="14605" max="14605" width="43.28515625" style="19" bestFit="1" customWidth="1"/>
    <col min="14606" max="14606" width="20.140625" style="19" customWidth="1"/>
    <col min="14607" max="14607" width="38.5703125" style="19" bestFit="1" customWidth="1"/>
    <col min="14608" max="14608" width="29.42578125" style="19" customWidth="1"/>
    <col min="14609" max="14609" width="19.85546875" style="19" customWidth="1"/>
    <col min="14610" max="14850" width="11.42578125" style="19"/>
    <col min="14851" max="14851" width="30.85546875" style="19" customWidth="1"/>
    <col min="14852" max="14852" width="27.42578125" style="19" bestFit="1" customWidth="1"/>
    <col min="14853" max="14854" width="27.42578125" style="19" customWidth="1"/>
    <col min="14855" max="14855" width="30" style="19" customWidth="1"/>
    <col min="14856" max="14856" width="30.5703125" style="19" customWidth="1"/>
    <col min="14857" max="14857" width="37" style="19" customWidth="1"/>
    <col min="14858" max="14858" width="30.42578125" style="19" customWidth="1"/>
    <col min="14859" max="14859" width="20.140625" style="19" bestFit="1" customWidth="1"/>
    <col min="14860" max="14860" width="46.140625" style="19" bestFit="1" customWidth="1"/>
    <col min="14861" max="14861" width="43.28515625" style="19" bestFit="1" customWidth="1"/>
    <col min="14862" max="14862" width="20.140625" style="19" customWidth="1"/>
    <col min="14863" max="14863" width="38.5703125" style="19" bestFit="1" customWidth="1"/>
    <col min="14864" max="14864" width="29.42578125" style="19" customWidth="1"/>
    <col min="14865" max="14865" width="19.85546875" style="19" customWidth="1"/>
    <col min="14866" max="15106" width="11.42578125" style="19"/>
    <col min="15107" max="15107" width="30.85546875" style="19" customWidth="1"/>
    <col min="15108" max="15108" width="27.42578125" style="19" bestFit="1" customWidth="1"/>
    <col min="15109" max="15110" width="27.42578125" style="19" customWidth="1"/>
    <col min="15111" max="15111" width="30" style="19" customWidth="1"/>
    <col min="15112" max="15112" width="30.5703125" style="19" customWidth="1"/>
    <col min="15113" max="15113" width="37" style="19" customWidth="1"/>
    <col min="15114" max="15114" width="30.42578125" style="19" customWidth="1"/>
    <col min="15115" max="15115" width="20.140625" style="19" bestFit="1" customWidth="1"/>
    <col min="15116" max="15116" width="46.140625" style="19" bestFit="1" customWidth="1"/>
    <col min="15117" max="15117" width="43.28515625" style="19" bestFit="1" customWidth="1"/>
    <col min="15118" max="15118" width="20.140625" style="19" customWidth="1"/>
    <col min="15119" max="15119" width="38.5703125" style="19" bestFit="1" customWidth="1"/>
    <col min="15120" max="15120" width="29.42578125" style="19" customWidth="1"/>
    <col min="15121" max="15121" width="19.85546875" style="19" customWidth="1"/>
    <col min="15122" max="15362" width="11.42578125" style="19"/>
    <col min="15363" max="15363" width="30.85546875" style="19" customWidth="1"/>
    <col min="15364" max="15364" width="27.42578125" style="19" bestFit="1" customWidth="1"/>
    <col min="15365" max="15366" width="27.42578125" style="19" customWidth="1"/>
    <col min="15367" max="15367" width="30" style="19" customWidth="1"/>
    <col min="15368" max="15368" width="30.5703125" style="19" customWidth="1"/>
    <col min="15369" max="15369" width="37" style="19" customWidth="1"/>
    <col min="15370" max="15370" width="30.42578125" style="19" customWidth="1"/>
    <col min="15371" max="15371" width="20.140625" style="19" bestFit="1" customWidth="1"/>
    <col min="15372" max="15372" width="46.140625" style="19" bestFit="1" customWidth="1"/>
    <col min="15373" max="15373" width="43.28515625" style="19" bestFit="1" customWidth="1"/>
    <col min="15374" max="15374" width="20.140625" style="19" customWidth="1"/>
    <col min="15375" max="15375" width="38.5703125" style="19" bestFit="1" customWidth="1"/>
    <col min="15376" max="15376" width="29.42578125" style="19" customWidth="1"/>
    <col min="15377" max="15377" width="19.85546875" style="19" customWidth="1"/>
    <col min="15378" max="15618" width="11.42578125" style="19"/>
    <col min="15619" max="15619" width="30.85546875" style="19" customWidth="1"/>
    <col min="15620" max="15620" width="27.42578125" style="19" bestFit="1" customWidth="1"/>
    <col min="15621" max="15622" width="27.42578125" style="19" customWidth="1"/>
    <col min="15623" max="15623" width="30" style="19" customWidth="1"/>
    <col min="15624" max="15624" width="30.5703125" style="19" customWidth="1"/>
    <col min="15625" max="15625" width="37" style="19" customWidth="1"/>
    <col min="15626" max="15626" width="30.42578125" style="19" customWidth="1"/>
    <col min="15627" max="15627" width="20.140625" style="19" bestFit="1" customWidth="1"/>
    <col min="15628" max="15628" width="46.140625" style="19" bestFit="1" customWidth="1"/>
    <col min="15629" max="15629" width="43.28515625" style="19" bestFit="1" customWidth="1"/>
    <col min="15630" max="15630" width="20.140625" style="19" customWidth="1"/>
    <col min="15631" max="15631" width="38.5703125" style="19" bestFit="1" customWidth="1"/>
    <col min="15632" max="15632" width="29.42578125" style="19" customWidth="1"/>
    <col min="15633" max="15633" width="19.85546875" style="19" customWidth="1"/>
    <col min="15634" max="15874" width="11.42578125" style="19"/>
    <col min="15875" max="15875" width="30.85546875" style="19" customWidth="1"/>
    <col min="15876" max="15876" width="27.42578125" style="19" bestFit="1" customWidth="1"/>
    <col min="15877" max="15878" width="27.42578125" style="19" customWidth="1"/>
    <col min="15879" max="15879" width="30" style="19" customWidth="1"/>
    <col min="15880" max="15880" width="30.5703125" style="19" customWidth="1"/>
    <col min="15881" max="15881" width="37" style="19" customWidth="1"/>
    <col min="15882" max="15882" width="30.42578125" style="19" customWidth="1"/>
    <col min="15883" max="15883" width="20.140625" style="19" bestFit="1" customWidth="1"/>
    <col min="15884" max="15884" width="46.140625" style="19" bestFit="1" customWidth="1"/>
    <col min="15885" max="15885" width="43.28515625" style="19" bestFit="1" customWidth="1"/>
    <col min="15886" max="15886" width="20.140625" style="19" customWidth="1"/>
    <col min="15887" max="15887" width="38.5703125" style="19" bestFit="1" customWidth="1"/>
    <col min="15888" max="15888" width="29.42578125" style="19" customWidth="1"/>
    <col min="15889" max="15889" width="19.85546875" style="19" customWidth="1"/>
    <col min="15890" max="16130" width="11.42578125" style="19"/>
    <col min="16131" max="16131" width="30.85546875" style="19" customWidth="1"/>
    <col min="16132" max="16132" width="27.42578125" style="19" bestFit="1" customWidth="1"/>
    <col min="16133" max="16134" width="27.42578125" style="19" customWidth="1"/>
    <col min="16135" max="16135" width="30" style="19" customWidth="1"/>
    <col min="16136" max="16136" width="30.5703125" style="19" customWidth="1"/>
    <col min="16137" max="16137" width="37" style="19" customWidth="1"/>
    <col min="16138" max="16138" width="30.42578125" style="19" customWidth="1"/>
    <col min="16139" max="16139" width="20.140625" style="19" bestFit="1" customWidth="1"/>
    <col min="16140" max="16140" width="46.140625" style="19" bestFit="1" customWidth="1"/>
    <col min="16141" max="16141" width="43.28515625" style="19" bestFit="1" customWidth="1"/>
    <col min="16142" max="16142" width="20.140625" style="19" customWidth="1"/>
    <col min="16143" max="16143" width="38.5703125" style="19" bestFit="1" customWidth="1"/>
    <col min="16144" max="16144" width="29.42578125" style="19" customWidth="1"/>
    <col min="16145" max="16145" width="19.85546875" style="19" customWidth="1"/>
    <col min="16146" max="16384" width="11.42578125" style="19"/>
  </cols>
  <sheetData>
    <row r="1" spans="1:19" s="10" customFormat="1" x14ac:dyDescent="0.25">
      <c r="A1" s="10" t="s">
        <v>487</v>
      </c>
      <c r="E1" s="11"/>
      <c r="F1" s="33"/>
      <c r="G1" s="33"/>
      <c r="H1" s="11"/>
      <c r="I1" s="38"/>
      <c r="M1" s="11"/>
      <c r="N1" s="38"/>
      <c r="O1" s="11"/>
      <c r="P1" s="11"/>
      <c r="Q1" s="13"/>
      <c r="R1" s="13"/>
      <c r="S1" s="13"/>
    </row>
    <row r="2" spans="1:19" s="10" customFormat="1" x14ac:dyDescent="0.25">
      <c r="A2" s="10" t="s">
        <v>2</v>
      </c>
      <c r="B2" s="10" t="s">
        <v>1</v>
      </c>
      <c r="C2" s="10" t="s">
        <v>479</v>
      </c>
      <c r="D2" s="10" t="s">
        <v>4</v>
      </c>
      <c r="E2" s="11" t="s">
        <v>488</v>
      </c>
      <c r="F2" s="33" t="s">
        <v>554</v>
      </c>
      <c r="G2" s="33" t="s">
        <v>489</v>
      </c>
      <c r="H2" s="11" t="s">
        <v>490</v>
      </c>
      <c r="I2" s="38" t="s">
        <v>566</v>
      </c>
      <c r="J2" s="10" t="s">
        <v>491</v>
      </c>
      <c r="K2" s="10" t="s">
        <v>492</v>
      </c>
      <c r="L2" s="10" t="s">
        <v>493</v>
      </c>
      <c r="M2" s="11" t="s">
        <v>475</v>
      </c>
      <c r="N2" s="38" t="s">
        <v>556</v>
      </c>
      <c r="O2" s="15" t="s">
        <v>506</v>
      </c>
      <c r="P2" s="15" t="s">
        <v>507</v>
      </c>
      <c r="Q2" s="13" t="s">
        <v>508</v>
      </c>
      <c r="R2" s="13" t="s">
        <v>504</v>
      </c>
      <c r="S2" s="13" t="s">
        <v>505</v>
      </c>
    </row>
    <row r="3" spans="1:19" x14ac:dyDescent="0.25">
      <c r="A3" s="19" t="s">
        <v>13</v>
      </c>
      <c r="B3" s="19" t="s">
        <v>12</v>
      </c>
      <c r="C3" s="19" t="s">
        <v>14</v>
      </c>
      <c r="D3" s="19" t="s">
        <v>15</v>
      </c>
      <c r="E3" s="24">
        <v>43499632</v>
      </c>
      <c r="F3" s="21" t="s">
        <v>232</v>
      </c>
      <c r="G3" s="21">
        <v>48.28744973545254</v>
      </c>
      <c r="H3" s="24">
        <f>(G3/100)*E3</f>
        <v>21004862.937106829</v>
      </c>
      <c r="I3" s="36">
        <f>IFERROR(H3,0)</f>
        <v>21004862.937106829</v>
      </c>
      <c r="J3" s="19">
        <v>150</v>
      </c>
      <c r="K3" s="19">
        <f>0.02*10*365*7.5</f>
        <v>547.5</v>
      </c>
      <c r="L3" s="19">
        <f>0.08*150*7.5</f>
        <v>90</v>
      </c>
      <c r="M3" s="24">
        <f>(J3+K3+L3)*H3</f>
        <v>16541329562.971628</v>
      </c>
      <c r="N3" s="36">
        <f>IFERROR(M3,0)</f>
        <v>16541329562.971628</v>
      </c>
      <c r="O3" s="24">
        <v>275432181.35267156</v>
      </c>
      <c r="P3" s="24">
        <f>O3*15</f>
        <v>4131482720.2900734</v>
      </c>
      <c r="Q3" s="23">
        <f>M3/P3</f>
        <v>4.0037271562908181</v>
      </c>
      <c r="R3" s="23">
        <f>(M3/2)/(P3*1.5)</f>
        <v>1.334575718763606</v>
      </c>
      <c r="S3" s="23">
        <f>(M3*1.5)/(P3/2)</f>
        <v>12.011181468872454</v>
      </c>
    </row>
    <row r="4" spans="1:19" ht="15" customHeight="1" x14ac:dyDescent="0.25">
      <c r="A4" s="19" t="s">
        <v>17</v>
      </c>
      <c r="B4" s="19" t="s">
        <v>16</v>
      </c>
      <c r="C4" s="19" t="s">
        <v>18</v>
      </c>
      <c r="D4" s="19" t="s">
        <v>19</v>
      </c>
      <c r="E4" s="24">
        <v>3310564</v>
      </c>
      <c r="F4" s="21" t="s">
        <v>232</v>
      </c>
      <c r="G4" s="21">
        <v>14.792992315545245</v>
      </c>
      <c r="H4" s="24">
        <f t="shared" ref="H4:H67" si="0">(G4/100)*E4</f>
        <v>489731.47812120727</v>
      </c>
      <c r="I4" s="36">
        <f t="shared" ref="I4:I67" si="1">IFERROR(H4,0)</f>
        <v>489731.47812120727</v>
      </c>
      <c r="J4" s="19">
        <v>150</v>
      </c>
      <c r="K4" s="19">
        <f>0.02*10*365*7.5</f>
        <v>547.5</v>
      </c>
      <c r="L4" s="19">
        <f>0.08*150*7.5</f>
        <v>90</v>
      </c>
      <c r="M4" s="24">
        <f t="shared" ref="M4:M67" si="2">(J4+K4+L4)*H4</f>
        <v>385663539.02045071</v>
      </c>
      <c r="N4" s="36">
        <f t="shared" ref="N4:N67" si="3">IFERROR(M4,0)</f>
        <v>385663539.02045071</v>
      </c>
      <c r="O4" s="24">
        <v>411495291.46132761</v>
      </c>
      <c r="P4" s="24">
        <f t="shared" ref="P4:P67" si="4">O4*15</f>
        <v>6172429371.9199142</v>
      </c>
      <c r="Q4" s="23">
        <f t="shared" ref="Q4:Q67" si="5">M4/P4</f>
        <v>6.2481644711066382E-2</v>
      </c>
      <c r="R4" s="23">
        <f t="shared" ref="R4:R67" si="6">(M4/2)/(P4*1.5)</f>
        <v>2.0827214903688794E-2</v>
      </c>
      <c r="S4" s="23">
        <f t="shared" ref="S4:S67" si="7">(M4*1.5)/(P4/2)</f>
        <v>0.18744493413319918</v>
      </c>
    </row>
    <row r="5" spans="1:19" ht="15" customHeight="1" x14ac:dyDescent="0.25">
      <c r="A5" s="19" t="s">
        <v>21</v>
      </c>
      <c r="B5" s="19" t="s">
        <v>20</v>
      </c>
      <c r="C5" s="19" t="s">
        <v>18</v>
      </c>
      <c r="D5" s="19" t="s">
        <v>22</v>
      </c>
      <c r="E5" s="24">
        <v>48561408</v>
      </c>
      <c r="F5" s="21">
        <v>94.1</v>
      </c>
      <c r="G5" s="21">
        <f>100-F5</f>
        <v>5.9000000000000057</v>
      </c>
      <c r="H5" s="24">
        <f t="shared" si="0"/>
        <v>2865123.072000003</v>
      </c>
      <c r="I5" s="36">
        <f t="shared" si="1"/>
        <v>2865123.072000003</v>
      </c>
      <c r="J5" s="19">
        <v>150</v>
      </c>
      <c r="K5" s="19">
        <f>0.02*10*365*7.5</f>
        <v>547.5</v>
      </c>
      <c r="L5" s="19">
        <f>0.08*150*7.5</f>
        <v>90</v>
      </c>
      <c r="M5" s="24">
        <f t="shared" si="2"/>
        <v>2256284419.2000022</v>
      </c>
      <c r="N5" s="36">
        <f t="shared" si="3"/>
        <v>2256284419.2000022</v>
      </c>
      <c r="O5" s="24">
        <v>41290138275.752869</v>
      </c>
      <c r="P5" s="24">
        <f t="shared" si="4"/>
        <v>619352074136.29297</v>
      </c>
      <c r="Q5" s="23">
        <f t="shared" si="5"/>
        <v>3.6429754794096163E-3</v>
      </c>
      <c r="R5" s="23">
        <f t="shared" si="6"/>
        <v>1.2143251598032054E-3</v>
      </c>
      <c r="S5" s="23">
        <f t="shared" si="7"/>
        <v>1.0928926438228849E-2</v>
      </c>
    </row>
    <row r="6" spans="1:19" ht="15" customHeight="1" x14ac:dyDescent="0.25">
      <c r="A6" s="19" t="s">
        <v>25</v>
      </c>
      <c r="B6" s="19" t="s">
        <v>24</v>
      </c>
      <c r="C6" s="19" t="s">
        <v>18</v>
      </c>
      <c r="D6" s="19" t="s">
        <v>26</v>
      </c>
      <c r="E6" s="24">
        <v>60989</v>
      </c>
      <c r="F6" s="21" t="s">
        <v>232</v>
      </c>
      <c r="G6" s="21">
        <v>31.129346349193881</v>
      </c>
      <c r="H6" s="24">
        <f t="shared" si="0"/>
        <v>18985.477044909858</v>
      </c>
      <c r="I6" s="36">
        <f t="shared" si="1"/>
        <v>18985.477044909858</v>
      </c>
      <c r="J6" s="19">
        <v>150</v>
      </c>
      <c r="K6" s="19">
        <f>0.02*10*365*7.5</f>
        <v>547.5</v>
      </c>
      <c r="L6" s="19">
        <f>0.08*150*7.5</f>
        <v>90</v>
      </c>
      <c r="M6" s="24">
        <f t="shared" si="2"/>
        <v>14951063.172866512</v>
      </c>
      <c r="N6" s="36">
        <f t="shared" si="3"/>
        <v>14951063.172866512</v>
      </c>
      <c r="O6" s="24" t="s">
        <v>232</v>
      </c>
      <c r="P6" s="24" t="e">
        <f t="shared" si="4"/>
        <v>#VALUE!</v>
      </c>
      <c r="Q6" s="23" t="e">
        <f t="shared" si="5"/>
        <v>#VALUE!</v>
      </c>
      <c r="R6" s="23" t="e">
        <f t="shared" si="6"/>
        <v>#VALUE!</v>
      </c>
      <c r="S6" s="23" t="e">
        <f t="shared" si="7"/>
        <v>#VALUE!</v>
      </c>
    </row>
    <row r="7" spans="1:19" ht="15" customHeight="1" x14ac:dyDescent="0.25">
      <c r="A7" s="19" t="s">
        <v>28</v>
      </c>
      <c r="B7" s="19" t="s">
        <v>27</v>
      </c>
      <c r="C7" s="19" t="s">
        <v>29</v>
      </c>
      <c r="D7" s="19" t="s">
        <v>19</v>
      </c>
      <c r="E7" s="24">
        <v>88710</v>
      </c>
      <c r="F7" s="21" t="s">
        <v>232</v>
      </c>
      <c r="G7" s="21">
        <v>14.792992315545245</v>
      </c>
      <c r="H7" s="24">
        <f t="shared" si="0"/>
        <v>13122.863483120187</v>
      </c>
      <c r="I7" s="36">
        <f t="shared" si="1"/>
        <v>13122.863483120187</v>
      </c>
      <c r="J7" s="19">
        <v>150</v>
      </c>
      <c r="K7" s="19">
        <f>0.02*10*365*7.5</f>
        <v>547.5</v>
      </c>
      <c r="L7" s="19">
        <f>0.08*150*7.5</f>
        <v>90</v>
      </c>
      <c r="M7" s="24">
        <f t="shared" si="2"/>
        <v>10334254.992957147</v>
      </c>
      <c r="N7" s="36">
        <f t="shared" si="3"/>
        <v>10334254.992957147</v>
      </c>
      <c r="O7" s="24" t="s">
        <v>232</v>
      </c>
      <c r="P7" s="24" t="e">
        <f t="shared" si="4"/>
        <v>#VALUE!</v>
      </c>
      <c r="Q7" s="23" t="e">
        <f t="shared" si="5"/>
        <v>#VALUE!</v>
      </c>
      <c r="R7" s="23" t="e">
        <f t="shared" si="6"/>
        <v>#VALUE!</v>
      </c>
      <c r="S7" s="23" t="e">
        <f t="shared" si="7"/>
        <v>#VALUE!</v>
      </c>
    </row>
    <row r="8" spans="1:19" ht="15" customHeight="1" x14ac:dyDescent="0.25">
      <c r="A8" s="19" t="s">
        <v>31</v>
      </c>
      <c r="B8" s="19" t="s">
        <v>30</v>
      </c>
      <c r="C8" s="19" t="s">
        <v>18</v>
      </c>
      <c r="D8" s="19" t="s">
        <v>32</v>
      </c>
      <c r="E8" s="24">
        <v>34783312</v>
      </c>
      <c r="F8" s="21">
        <v>47.6</v>
      </c>
      <c r="G8" s="21">
        <f>100-F8</f>
        <v>52.4</v>
      </c>
      <c r="H8" s="24">
        <f t="shared" si="0"/>
        <v>18226455.488000002</v>
      </c>
      <c r="I8" s="36">
        <f t="shared" si="1"/>
        <v>18226455.488000002</v>
      </c>
      <c r="J8" s="19">
        <v>150</v>
      </c>
      <c r="K8" s="19">
        <f>0.02*10*365*7.5</f>
        <v>547.5</v>
      </c>
      <c r="L8" s="19">
        <f>0.08*150*7.5</f>
        <v>90</v>
      </c>
      <c r="M8" s="24">
        <f t="shared" si="2"/>
        <v>14353333696.800001</v>
      </c>
      <c r="N8" s="36">
        <f t="shared" si="3"/>
        <v>14353333696.800001</v>
      </c>
      <c r="O8" s="24">
        <v>38084701465.664787</v>
      </c>
      <c r="P8" s="24">
        <f t="shared" si="4"/>
        <v>571270521984.9718</v>
      </c>
      <c r="Q8" s="23">
        <f t="shared" si="5"/>
        <v>2.5125283284225874E-2</v>
      </c>
      <c r="R8" s="23">
        <f t="shared" si="6"/>
        <v>8.3750944280752901E-3</v>
      </c>
      <c r="S8" s="23">
        <f t="shared" si="7"/>
        <v>7.5375849852677618E-2</v>
      </c>
    </row>
    <row r="9" spans="1:19" ht="15" customHeight="1" x14ac:dyDescent="0.25">
      <c r="A9" s="31" t="s">
        <v>34</v>
      </c>
      <c r="B9" s="31" t="s">
        <v>33</v>
      </c>
      <c r="C9" s="31" t="s">
        <v>29</v>
      </c>
      <c r="D9" s="31" t="s">
        <v>35</v>
      </c>
      <c r="E9" s="30">
        <v>104982</v>
      </c>
      <c r="F9" s="27">
        <v>76.771428570587304</v>
      </c>
      <c r="G9" s="27">
        <f>100-F9</f>
        <v>23.228571429412696</v>
      </c>
      <c r="H9" s="24">
        <f t="shared" si="0"/>
        <v>24385.818858026036</v>
      </c>
      <c r="I9" s="36">
        <f t="shared" si="1"/>
        <v>24385.818858026036</v>
      </c>
      <c r="J9" s="31">
        <v>150</v>
      </c>
      <c r="K9" s="31">
        <f>0.02*10*365*7.5</f>
        <v>547.5</v>
      </c>
      <c r="L9" s="31">
        <f>0.08*150*7.5</f>
        <v>90</v>
      </c>
      <c r="M9" s="24">
        <f t="shared" si="2"/>
        <v>19203832.350695502</v>
      </c>
      <c r="N9" s="36">
        <f t="shared" si="3"/>
        <v>19203832.350695502</v>
      </c>
      <c r="O9" s="30">
        <v>0</v>
      </c>
      <c r="P9" s="24">
        <f t="shared" si="4"/>
        <v>0</v>
      </c>
      <c r="Q9" s="23" t="e">
        <f t="shared" si="5"/>
        <v>#DIV/0!</v>
      </c>
      <c r="R9" s="23" t="e">
        <f t="shared" si="6"/>
        <v>#DIV/0!</v>
      </c>
      <c r="S9" s="23" t="e">
        <f t="shared" si="7"/>
        <v>#DIV/0!</v>
      </c>
    </row>
    <row r="10" spans="1:19" ht="15" customHeight="1" x14ac:dyDescent="0.25">
      <c r="A10" s="19" t="s">
        <v>37</v>
      </c>
      <c r="B10" s="19" t="s">
        <v>36</v>
      </c>
      <c r="C10" s="19" t="s">
        <v>18</v>
      </c>
      <c r="D10" s="19" t="s">
        <v>35</v>
      </c>
      <c r="E10" s="24">
        <v>46859381</v>
      </c>
      <c r="F10" s="21">
        <v>57.040638299999998</v>
      </c>
      <c r="G10" s="21">
        <f>100-F10</f>
        <v>42.959361700000002</v>
      </c>
      <c r="H10" s="24">
        <f t="shared" si="0"/>
        <v>20130490.97417108</v>
      </c>
      <c r="I10" s="36">
        <f t="shared" si="1"/>
        <v>20130490.97417108</v>
      </c>
      <c r="J10" s="19">
        <v>150</v>
      </c>
      <c r="K10" s="19">
        <f>0.02*10*365*7.5</f>
        <v>547.5</v>
      </c>
      <c r="L10" s="19">
        <f>0.08*150*7.5</f>
        <v>90</v>
      </c>
      <c r="M10" s="24">
        <f t="shared" si="2"/>
        <v>15852761642.159725</v>
      </c>
      <c r="N10" s="36">
        <f t="shared" si="3"/>
        <v>15852761642.159725</v>
      </c>
      <c r="O10" s="24">
        <v>23990886710.821796</v>
      </c>
      <c r="P10" s="24">
        <f t="shared" si="4"/>
        <v>359863300662.32697</v>
      </c>
      <c r="Q10" s="23">
        <f t="shared" si="5"/>
        <v>4.4052176515312291E-2</v>
      </c>
      <c r="R10" s="23">
        <f t="shared" si="6"/>
        <v>1.4684058838437429E-2</v>
      </c>
      <c r="S10" s="23">
        <f t="shared" si="7"/>
        <v>0.13215652954593685</v>
      </c>
    </row>
    <row r="11" spans="1:19" ht="15" customHeight="1" x14ac:dyDescent="0.25">
      <c r="A11" s="19" t="s">
        <v>39</v>
      </c>
      <c r="B11" s="19" t="s">
        <v>38</v>
      </c>
      <c r="C11" s="19" t="s">
        <v>40</v>
      </c>
      <c r="D11" s="19" t="s">
        <v>19</v>
      </c>
      <c r="E11" s="24">
        <v>2969807</v>
      </c>
      <c r="F11" s="21">
        <v>87.855638229999997</v>
      </c>
      <c r="G11" s="21">
        <f>100-F11</f>
        <v>12.144361770000003</v>
      </c>
      <c r="H11" s="24">
        <f t="shared" si="0"/>
        <v>360664.105950784</v>
      </c>
      <c r="I11" s="36">
        <f t="shared" si="1"/>
        <v>360664.105950784</v>
      </c>
      <c r="J11" s="19">
        <v>150</v>
      </c>
      <c r="K11" s="19">
        <f>0.02*10*365*7.5</f>
        <v>547.5</v>
      </c>
      <c r="L11" s="19">
        <f>0.08*150*7.5</f>
        <v>90</v>
      </c>
      <c r="M11" s="24">
        <f t="shared" si="2"/>
        <v>284022983.4362424</v>
      </c>
      <c r="N11" s="36">
        <f t="shared" si="3"/>
        <v>284022983.4362424</v>
      </c>
      <c r="O11" s="24">
        <v>346885961.37184739</v>
      </c>
      <c r="P11" s="24">
        <f t="shared" si="4"/>
        <v>5203289420.5777111</v>
      </c>
      <c r="Q11" s="23">
        <f t="shared" si="5"/>
        <v>5.4585274905716831E-2</v>
      </c>
      <c r="R11" s="23">
        <f t="shared" si="6"/>
        <v>1.8195091635238945E-2</v>
      </c>
      <c r="S11" s="23">
        <f t="shared" si="7"/>
        <v>0.1637558247171505</v>
      </c>
    </row>
    <row r="12" spans="1:19" ht="15" customHeight="1" x14ac:dyDescent="0.25">
      <c r="A12" s="19" t="s">
        <v>42</v>
      </c>
      <c r="B12" s="19" t="s">
        <v>41</v>
      </c>
      <c r="C12" s="19" t="s">
        <v>29</v>
      </c>
      <c r="D12" s="19" t="s">
        <v>35</v>
      </c>
      <c r="E12" s="24">
        <v>107734</v>
      </c>
      <c r="F12" s="21">
        <v>93.532110090000003</v>
      </c>
      <c r="G12" s="21">
        <f>100-F12</f>
        <v>6.4678899099999967</v>
      </c>
      <c r="H12" s="24">
        <f t="shared" si="0"/>
        <v>6968.1165156393963</v>
      </c>
      <c r="I12" s="36">
        <f t="shared" si="1"/>
        <v>6968.1165156393963</v>
      </c>
      <c r="J12" s="19">
        <v>150</v>
      </c>
      <c r="K12" s="19">
        <f>0.02*10*365*7.5</f>
        <v>547.5</v>
      </c>
      <c r="L12" s="19">
        <f>0.08*150*7.5</f>
        <v>90</v>
      </c>
      <c r="M12" s="24">
        <f t="shared" si="2"/>
        <v>5487391.7560660243</v>
      </c>
      <c r="N12" s="36">
        <f t="shared" si="3"/>
        <v>5487391.7560660243</v>
      </c>
      <c r="O12" s="24">
        <v>93353.484085037111</v>
      </c>
      <c r="P12" s="24">
        <f t="shared" si="4"/>
        <v>1400302.2612755566</v>
      </c>
      <c r="Q12" s="23">
        <f t="shared" si="5"/>
        <v>3.9187194849399698</v>
      </c>
      <c r="R12" s="23">
        <f t="shared" si="6"/>
        <v>1.3062398283133234</v>
      </c>
      <c r="S12" s="23">
        <f t="shared" si="7"/>
        <v>11.756158454819909</v>
      </c>
    </row>
    <row r="13" spans="1:19" ht="15" customHeight="1" x14ac:dyDescent="0.25">
      <c r="A13" s="19" t="s">
        <v>44</v>
      </c>
      <c r="B13" s="19" t="s">
        <v>43</v>
      </c>
      <c r="C13" s="19" t="s">
        <v>45</v>
      </c>
      <c r="D13" s="19" t="s">
        <v>26</v>
      </c>
      <c r="E13" s="24">
        <v>28335501</v>
      </c>
      <c r="F13" s="21" t="s">
        <v>232</v>
      </c>
      <c r="G13" s="21" t="s">
        <v>232</v>
      </c>
      <c r="H13" s="24" t="e">
        <f t="shared" si="0"/>
        <v>#VALUE!</v>
      </c>
      <c r="I13" s="36">
        <f t="shared" si="1"/>
        <v>0</v>
      </c>
      <c r="J13" s="19">
        <v>150</v>
      </c>
      <c r="K13" s="19">
        <f>0.02*10*365*7.5</f>
        <v>547.5</v>
      </c>
      <c r="L13" s="19">
        <f>0.08*150*7.5</f>
        <v>90</v>
      </c>
      <c r="M13" s="24" t="e">
        <f t="shared" si="2"/>
        <v>#VALUE!</v>
      </c>
      <c r="N13" s="36">
        <f t="shared" si="3"/>
        <v>0</v>
      </c>
      <c r="O13" s="24">
        <v>111498672067.56895</v>
      </c>
      <c r="P13" s="24">
        <f t="shared" si="4"/>
        <v>1672480081013.5344</v>
      </c>
      <c r="Q13" s="23" t="e">
        <f t="shared" si="5"/>
        <v>#VALUE!</v>
      </c>
      <c r="R13" s="23" t="e">
        <f t="shared" si="6"/>
        <v>#VALUE!</v>
      </c>
      <c r="S13" s="23" t="e">
        <f t="shared" si="7"/>
        <v>#VALUE!</v>
      </c>
    </row>
    <row r="14" spans="1:19" ht="15" customHeight="1" x14ac:dyDescent="0.25">
      <c r="A14" s="19" t="s">
        <v>47</v>
      </c>
      <c r="B14" s="19" t="s">
        <v>46</v>
      </c>
      <c r="C14" s="19" t="s">
        <v>45</v>
      </c>
      <c r="D14" s="19" t="s">
        <v>19</v>
      </c>
      <c r="E14" s="24">
        <v>9005424</v>
      </c>
      <c r="F14" s="21">
        <v>100</v>
      </c>
      <c r="G14" s="21">
        <f>100-F14</f>
        <v>0</v>
      </c>
      <c r="H14" s="24">
        <f t="shared" si="0"/>
        <v>0</v>
      </c>
      <c r="I14" s="36">
        <f t="shared" si="1"/>
        <v>0</v>
      </c>
      <c r="J14" s="19">
        <v>150</v>
      </c>
      <c r="K14" s="19">
        <f>0.02*10*365*7.5</f>
        <v>547.5</v>
      </c>
      <c r="L14" s="19">
        <f>0.08*150*7.5</f>
        <v>90</v>
      </c>
      <c r="M14" s="24">
        <f t="shared" si="2"/>
        <v>0</v>
      </c>
      <c r="N14" s="36">
        <f t="shared" si="3"/>
        <v>0</v>
      </c>
      <c r="O14" s="24">
        <v>1711085863.7734871</v>
      </c>
      <c r="P14" s="24">
        <f t="shared" si="4"/>
        <v>25666287956.602306</v>
      </c>
      <c r="Q14" s="23">
        <f t="shared" si="5"/>
        <v>0</v>
      </c>
      <c r="R14" s="23">
        <f t="shared" si="6"/>
        <v>0</v>
      </c>
      <c r="S14" s="23">
        <f t="shared" si="7"/>
        <v>0</v>
      </c>
    </row>
    <row r="15" spans="1:19" ht="15" customHeight="1" x14ac:dyDescent="0.25">
      <c r="A15" s="19" t="s">
        <v>49</v>
      </c>
      <c r="B15" s="19" t="s">
        <v>48</v>
      </c>
      <c r="C15" s="19" t="s">
        <v>18</v>
      </c>
      <c r="D15" s="19" t="s">
        <v>19</v>
      </c>
      <c r="E15" s="24">
        <v>10474377</v>
      </c>
      <c r="F15" s="21">
        <v>79.535588840000003</v>
      </c>
      <c r="G15" s="21">
        <f>100-F15</f>
        <v>20.464411159999997</v>
      </c>
      <c r="H15" s="24">
        <f t="shared" si="0"/>
        <v>2143519.5757284733</v>
      </c>
      <c r="I15" s="36">
        <f t="shared" si="1"/>
        <v>2143519.5757284733</v>
      </c>
      <c r="J15" s="19">
        <v>150</v>
      </c>
      <c r="K15" s="19">
        <f>0.02*10*365*7.5</f>
        <v>547.5</v>
      </c>
      <c r="L15" s="19">
        <f>0.08*150*7.5</f>
        <v>90</v>
      </c>
      <c r="M15" s="24">
        <f t="shared" si="2"/>
        <v>1688021665.8861728</v>
      </c>
      <c r="N15" s="36">
        <f t="shared" si="3"/>
        <v>1688021665.8861728</v>
      </c>
      <c r="O15" s="24">
        <v>24407648660.104939</v>
      </c>
      <c r="P15" s="24">
        <f t="shared" si="4"/>
        <v>366114729901.5741</v>
      </c>
      <c r="Q15" s="23">
        <f t="shared" si="5"/>
        <v>4.6106357598340248E-3</v>
      </c>
      <c r="R15" s="23">
        <f t="shared" si="6"/>
        <v>1.5368785866113415E-3</v>
      </c>
      <c r="S15" s="23">
        <f t="shared" si="7"/>
        <v>1.3831907279502072E-2</v>
      </c>
    </row>
    <row r="16" spans="1:19" ht="15" customHeight="1" x14ac:dyDescent="0.25">
      <c r="A16" s="19" t="s">
        <v>51</v>
      </c>
      <c r="B16" s="19" t="s">
        <v>50</v>
      </c>
      <c r="C16" s="19" t="s">
        <v>29</v>
      </c>
      <c r="D16" s="19" t="s">
        <v>35</v>
      </c>
      <c r="E16" s="24">
        <v>447410</v>
      </c>
      <c r="F16" s="21" t="s">
        <v>232</v>
      </c>
      <c r="G16" s="21">
        <v>26.644402312055828</v>
      </c>
      <c r="H16" s="24">
        <f t="shared" si="0"/>
        <v>119209.72038436896</v>
      </c>
      <c r="I16" s="36">
        <f t="shared" si="1"/>
        <v>119209.72038436896</v>
      </c>
      <c r="J16" s="19">
        <v>150</v>
      </c>
      <c r="K16" s="19">
        <f>0.02*10*365*7.5</f>
        <v>547.5</v>
      </c>
      <c r="L16" s="19">
        <f>0.08*150*7.5</f>
        <v>90</v>
      </c>
      <c r="M16" s="24">
        <f t="shared" si="2"/>
        <v>93877654.802690566</v>
      </c>
      <c r="N16" s="36">
        <f t="shared" si="3"/>
        <v>93877654.802690566</v>
      </c>
      <c r="O16" s="24">
        <v>2651920.615148271</v>
      </c>
      <c r="P16" s="24">
        <f t="shared" si="4"/>
        <v>39778809.227224067</v>
      </c>
      <c r="Q16" s="23">
        <f t="shared" si="5"/>
        <v>2.359991579095384</v>
      </c>
      <c r="R16" s="23">
        <f t="shared" si="6"/>
        <v>0.78666385969846142</v>
      </c>
      <c r="S16" s="23">
        <f t="shared" si="7"/>
        <v>7.079974737286153</v>
      </c>
    </row>
    <row r="17" spans="1:19" ht="15" customHeight="1" x14ac:dyDescent="0.25">
      <c r="A17" s="19" t="s">
        <v>53</v>
      </c>
      <c r="B17" s="19" t="s">
        <v>52</v>
      </c>
      <c r="C17" s="19" t="s">
        <v>29</v>
      </c>
      <c r="D17" s="19" t="s">
        <v>22</v>
      </c>
      <c r="E17" s="24">
        <v>1641988</v>
      </c>
      <c r="F17" s="21">
        <v>98.487767129999995</v>
      </c>
      <c r="G17" s="21">
        <f>100-F17</f>
        <v>1.5122328700000054</v>
      </c>
      <c r="H17" s="24">
        <f t="shared" si="0"/>
        <v>24830.682257455686</v>
      </c>
      <c r="I17" s="36">
        <f t="shared" si="1"/>
        <v>24830.682257455686</v>
      </c>
      <c r="J17" s="19">
        <v>150</v>
      </c>
      <c r="K17" s="19">
        <f>0.02*10*365*7.5</f>
        <v>547.5</v>
      </c>
      <c r="L17" s="19">
        <f>0.08*150*7.5</f>
        <v>90</v>
      </c>
      <c r="M17" s="24">
        <f t="shared" si="2"/>
        <v>19554162.277746353</v>
      </c>
      <c r="N17" s="36">
        <f t="shared" si="3"/>
        <v>19554162.277746353</v>
      </c>
      <c r="O17" s="24">
        <v>5828990079.2173672</v>
      </c>
      <c r="P17" s="24">
        <f t="shared" si="4"/>
        <v>87434851188.260513</v>
      </c>
      <c r="Q17" s="23">
        <f t="shared" si="5"/>
        <v>2.2364265521128721E-4</v>
      </c>
      <c r="R17" s="23">
        <f t="shared" si="6"/>
        <v>7.4547551737095738E-5</v>
      </c>
      <c r="S17" s="23">
        <f t="shared" si="7"/>
        <v>6.709279656338617E-4</v>
      </c>
    </row>
    <row r="18" spans="1:19" ht="15" customHeight="1" x14ac:dyDescent="0.25">
      <c r="A18" s="19" t="s">
        <v>56</v>
      </c>
      <c r="B18" s="19" t="s">
        <v>55</v>
      </c>
      <c r="C18" s="19" t="s">
        <v>14</v>
      </c>
      <c r="D18" s="19" t="s">
        <v>15</v>
      </c>
      <c r="E18" s="24">
        <v>185063630</v>
      </c>
      <c r="F18" s="21">
        <v>63.74</v>
      </c>
      <c r="G18" s="21">
        <f>100-F18</f>
        <v>36.26</v>
      </c>
      <c r="H18" s="24">
        <f t="shared" si="0"/>
        <v>67104072.237999998</v>
      </c>
      <c r="I18" s="36">
        <f t="shared" si="1"/>
        <v>67104072.237999998</v>
      </c>
      <c r="J18" s="19">
        <v>150</v>
      </c>
      <c r="K18" s="19">
        <f>0.02*10*365*7.5</f>
        <v>547.5</v>
      </c>
      <c r="L18" s="19">
        <f>0.08*150*7.5</f>
        <v>90</v>
      </c>
      <c r="M18" s="24">
        <f t="shared" si="2"/>
        <v>52844456887.424995</v>
      </c>
      <c r="N18" s="36">
        <f t="shared" si="3"/>
        <v>52844456887.424995</v>
      </c>
      <c r="O18" s="24">
        <v>5122872663.1918049</v>
      </c>
      <c r="P18" s="24">
        <f t="shared" si="4"/>
        <v>76843089947.877075</v>
      </c>
      <c r="Q18" s="23">
        <f t="shared" si="5"/>
        <v>0.68769302383948339</v>
      </c>
      <c r="R18" s="23">
        <f t="shared" si="6"/>
        <v>0.22923100794649445</v>
      </c>
      <c r="S18" s="23">
        <f t="shared" si="7"/>
        <v>2.0630790715184504</v>
      </c>
    </row>
    <row r="19" spans="1:19" ht="15" customHeight="1" x14ac:dyDescent="0.25">
      <c r="A19" s="19" t="s">
        <v>58</v>
      </c>
      <c r="B19" s="19" t="s">
        <v>57</v>
      </c>
      <c r="C19" s="19" t="s">
        <v>29</v>
      </c>
      <c r="D19" s="19" t="s">
        <v>35</v>
      </c>
      <c r="E19" s="24">
        <v>305709</v>
      </c>
      <c r="F19" s="21" t="s">
        <v>232</v>
      </c>
      <c r="G19" s="21">
        <v>26.644402312055828</v>
      </c>
      <c r="H19" s="24">
        <f t="shared" si="0"/>
        <v>81454.335864162742</v>
      </c>
      <c r="I19" s="36">
        <f t="shared" si="1"/>
        <v>81454.335864162742</v>
      </c>
      <c r="J19" s="19">
        <v>150</v>
      </c>
      <c r="K19" s="19">
        <f>0.02*10*365*7.5</f>
        <v>547.5</v>
      </c>
      <c r="L19" s="19">
        <f>0.08*150*7.5</f>
        <v>90</v>
      </c>
      <c r="M19" s="24">
        <f t="shared" si="2"/>
        <v>64145289.493028156</v>
      </c>
      <c r="N19" s="36">
        <f t="shared" si="3"/>
        <v>64145289.493028156</v>
      </c>
      <c r="O19" s="24">
        <v>1055471.7325739102</v>
      </c>
      <c r="P19" s="24">
        <f t="shared" si="4"/>
        <v>15832075.988608653</v>
      </c>
      <c r="Q19" s="23">
        <f t="shared" si="5"/>
        <v>4.0516031845211815</v>
      </c>
      <c r="R19" s="23">
        <f t="shared" si="6"/>
        <v>1.3505343948403938</v>
      </c>
      <c r="S19" s="23">
        <f t="shared" si="7"/>
        <v>12.154809553563545</v>
      </c>
    </row>
    <row r="20" spans="1:19" ht="15" customHeight="1" x14ac:dyDescent="0.25">
      <c r="A20" s="19" t="s">
        <v>60</v>
      </c>
      <c r="B20" s="19" t="s">
        <v>59</v>
      </c>
      <c r="C20" s="19" t="s">
        <v>18</v>
      </c>
      <c r="D20" s="19" t="s">
        <v>19</v>
      </c>
      <c r="E20" s="24">
        <v>8488334</v>
      </c>
      <c r="F20" s="21">
        <v>87.818367346938757</v>
      </c>
      <c r="G20" s="21">
        <f>100-F20</f>
        <v>12.181632653061243</v>
      </c>
      <c r="H20" s="24">
        <f t="shared" si="0"/>
        <v>1034017.6662448995</v>
      </c>
      <c r="I20" s="36">
        <f t="shared" si="1"/>
        <v>1034017.6662448995</v>
      </c>
      <c r="J20" s="19">
        <v>150</v>
      </c>
      <c r="K20" s="19">
        <f>0.02*10*365*7.5</f>
        <v>547.5</v>
      </c>
      <c r="L20" s="19">
        <f>0.08*150*7.5</f>
        <v>90</v>
      </c>
      <c r="M20" s="24">
        <f t="shared" si="2"/>
        <v>814288912.16785836</v>
      </c>
      <c r="N20" s="36">
        <f t="shared" si="3"/>
        <v>814288912.16785836</v>
      </c>
      <c r="O20" s="24">
        <v>1379214938.7502549</v>
      </c>
      <c r="P20" s="24">
        <f t="shared" si="4"/>
        <v>20688224081.253822</v>
      </c>
      <c r="Q20" s="23">
        <f t="shared" si="5"/>
        <v>3.9360019930647805E-2</v>
      </c>
      <c r="R20" s="23">
        <f t="shared" si="6"/>
        <v>1.3120006643549269E-2</v>
      </c>
      <c r="S20" s="23">
        <f t="shared" si="7"/>
        <v>0.11808005979194343</v>
      </c>
    </row>
    <row r="21" spans="1:19" ht="15" customHeight="1" x14ac:dyDescent="0.25">
      <c r="A21" s="19" t="s">
        <v>62</v>
      </c>
      <c r="B21" s="19" t="s">
        <v>61</v>
      </c>
      <c r="C21" s="19" t="s">
        <v>45</v>
      </c>
      <c r="D21" s="19" t="s">
        <v>19</v>
      </c>
      <c r="E21" s="24">
        <v>11664194</v>
      </c>
      <c r="F21" s="21">
        <v>86.28</v>
      </c>
      <c r="G21" s="21">
        <f>100-F21</f>
        <v>13.719999999999999</v>
      </c>
      <c r="H21" s="24">
        <f t="shared" si="0"/>
        <v>1600327.4167999998</v>
      </c>
      <c r="I21" s="36">
        <f t="shared" si="1"/>
        <v>1600327.4167999998</v>
      </c>
      <c r="J21" s="19">
        <v>150</v>
      </c>
      <c r="K21" s="19">
        <f>0.02*10*365*7.5</f>
        <v>547.5</v>
      </c>
      <c r="L21" s="19">
        <f>0.08*150*7.5</f>
        <v>90</v>
      </c>
      <c r="M21" s="24">
        <f t="shared" si="2"/>
        <v>1260257840.7299998</v>
      </c>
      <c r="N21" s="36">
        <f t="shared" si="3"/>
        <v>1260257840.7299998</v>
      </c>
      <c r="O21" s="24">
        <v>306181202.30001646</v>
      </c>
      <c r="P21" s="24">
        <f t="shared" si="4"/>
        <v>4592718034.500247</v>
      </c>
      <c r="Q21" s="23">
        <f t="shared" si="5"/>
        <v>0.27440348640238998</v>
      </c>
      <c r="R21" s="23">
        <f t="shared" si="6"/>
        <v>9.1467828800796666E-2</v>
      </c>
      <c r="S21" s="23">
        <f t="shared" si="7"/>
        <v>0.82321045920716995</v>
      </c>
    </row>
    <row r="22" spans="1:19" ht="15" customHeight="1" x14ac:dyDescent="0.25">
      <c r="A22" s="19" t="s">
        <v>64</v>
      </c>
      <c r="B22" s="19" t="s">
        <v>63</v>
      </c>
      <c r="C22" s="19" t="s">
        <v>18</v>
      </c>
      <c r="D22" s="19" t="s">
        <v>35</v>
      </c>
      <c r="E22" s="24">
        <v>461277</v>
      </c>
      <c r="F22" s="21">
        <v>40.700000000000003</v>
      </c>
      <c r="G22" s="21">
        <f>100-F22</f>
        <v>59.3</v>
      </c>
      <c r="H22" s="24">
        <f t="shared" si="0"/>
        <v>273537.261</v>
      </c>
      <c r="I22" s="36">
        <f t="shared" si="1"/>
        <v>273537.261</v>
      </c>
      <c r="J22" s="19">
        <v>150</v>
      </c>
      <c r="K22" s="19">
        <f>0.02*10*365*7.5</f>
        <v>547.5</v>
      </c>
      <c r="L22" s="19">
        <f>0.08*150*7.5</f>
        <v>90</v>
      </c>
      <c r="M22" s="24">
        <f t="shared" si="2"/>
        <v>215410593.03749999</v>
      </c>
      <c r="N22" s="36">
        <f t="shared" si="3"/>
        <v>215410593.03749999</v>
      </c>
      <c r="O22" s="24">
        <v>14107420.288951172</v>
      </c>
      <c r="P22" s="24">
        <f t="shared" si="4"/>
        <v>211611304.33426759</v>
      </c>
      <c r="Q22" s="23">
        <f t="shared" si="5"/>
        <v>1.0179540914186274</v>
      </c>
      <c r="R22" s="23">
        <f t="shared" si="6"/>
        <v>0.33931803047287579</v>
      </c>
      <c r="S22" s="23">
        <f t="shared" si="7"/>
        <v>3.0538622742558816</v>
      </c>
    </row>
    <row r="23" spans="1:19" ht="15" customHeight="1" x14ac:dyDescent="0.25">
      <c r="A23" s="19" t="s">
        <v>66</v>
      </c>
      <c r="B23" s="19" t="s">
        <v>65</v>
      </c>
      <c r="C23" s="19" t="s">
        <v>14</v>
      </c>
      <c r="D23" s="19" t="s">
        <v>32</v>
      </c>
      <c r="E23" s="24">
        <v>15506762</v>
      </c>
      <c r="F23" s="21">
        <v>39.340000000000003</v>
      </c>
      <c r="G23" s="21">
        <f>100-F23</f>
        <v>60.66</v>
      </c>
      <c r="H23" s="24">
        <f t="shared" si="0"/>
        <v>9406401.8291999996</v>
      </c>
      <c r="I23" s="36">
        <f t="shared" si="1"/>
        <v>9406401.8291999996</v>
      </c>
      <c r="J23" s="19">
        <v>150</v>
      </c>
      <c r="K23" s="19">
        <f>0.02*10*365*7.5</f>
        <v>547.5</v>
      </c>
      <c r="L23" s="19">
        <f>0.08*150*7.5</f>
        <v>90</v>
      </c>
      <c r="M23" s="24">
        <f t="shared" si="2"/>
        <v>7407541440.4949999</v>
      </c>
      <c r="N23" s="36">
        <f t="shared" si="3"/>
        <v>7407541440.4949999</v>
      </c>
      <c r="O23" s="24">
        <v>358790876.29676551</v>
      </c>
      <c r="P23" s="24">
        <f t="shared" si="4"/>
        <v>5381863144.4514828</v>
      </c>
      <c r="Q23" s="23">
        <f t="shared" si="5"/>
        <v>1.3763897820649569</v>
      </c>
      <c r="R23" s="23">
        <f t="shared" si="6"/>
        <v>0.45879659402165229</v>
      </c>
      <c r="S23" s="23">
        <f t="shared" si="7"/>
        <v>4.1291693461948711</v>
      </c>
    </row>
    <row r="24" spans="1:19" ht="15" customHeight="1" x14ac:dyDescent="0.25">
      <c r="A24" s="31" t="s">
        <v>68</v>
      </c>
      <c r="B24" s="31" t="s">
        <v>67</v>
      </c>
      <c r="C24" s="31" t="s">
        <v>29</v>
      </c>
      <c r="D24" s="31" t="s">
        <v>69</v>
      </c>
      <c r="E24" s="30">
        <v>66524</v>
      </c>
      <c r="F24" s="27">
        <v>90.8</v>
      </c>
      <c r="G24" s="27">
        <f>100-F24</f>
        <v>9.2000000000000028</v>
      </c>
      <c r="H24" s="24">
        <f t="shared" si="0"/>
        <v>6120.2080000000014</v>
      </c>
      <c r="I24" s="36">
        <f t="shared" si="1"/>
        <v>6120.2080000000014</v>
      </c>
      <c r="J24" s="31">
        <v>150</v>
      </c>
      <c r="K24" s="31">
        <f>0.02*10*365*7.5</f>
        <v>547.5</v>
      </c>
      <c r="L24" s="31">
        <f>0.08*150*7.5</f>
        <v>90</v>
      </c>
      <c r="M24" s="24">
        <f t="shared" si="2"/>
        <v>4819663.8000000007</v>
      </c>
      <c r="N24" s="36">
        <f t="shared" si="3"/>
        <v>4819663.8000000007</v>
      </c>
      <c r="O24" s="30">
        <v>0</v>
      </c>
      <c r="P24" s="24">
        <f t="shared" si="4"/>
        <v>0</v>
      </c>
      <c r="Q24" s="23" t="e">
        <f t="shared" si="5"/>
        <v>#DIV/0!</v>
      </c>
      <c r="R24" s="23" t="e">
        <f t="shared" si="6"/>
        <v>#DIV/0!</v>
      </c>
      <c r="S24" s="23" t="e">
        <f t="shared" si="7"/>
        <v>#DIV/0!</v>
      </c>
    </row>
    <row r="25" spans="1:19" ht="15" customHeight="1" x14ac:dyDescent="0.25">
      <c r="A25" s="19" t="s">
        <v>71</v>
      </c>
      <c r="B25" s="19" t="s">
        <v>70</v>
      </c>
      <c r="C25" s="19" t="s">
        <v>40</v>
      </c>
      <c r="D25" s="19" t="s">
        <v>15</v>
      </c>
      <c r="E25" s="24">
        <v>897761</v>
      </c>
      <c r="F25" s="21">
        <v>39.299999999999997</v>
      </c>
      <c r="G25" s="21">
        <f>100-F25</f>
        <v>60.7</v>
      </c>
      <c r="H25" s="24">
        <f t="shared" si="0"/>
        <v>544940.92700000003</v>
      </c>
      <c r="I25" s="36">
        <f t="shared" si="1"/>
        <v>544940.92700000003</v>
      </c>
      <c r="J25" s="19">
        <v>150</v>
      </c>
      <c r="K25" s="19">
        <f>0.02*10*365*7.5</f>
        <v>547.5</v>
      </c>
      <c r="L25" s="19">
        <f>0.08*150*7.5</f>
        <v>90</v>
      </c>
      <c r="M25" s="24">
        <f t="shared" si="2"/>
        <v>429140980.01250005</v>
      </c>
      <c r="N25" s="36">
        <f t="shared" si="3"/>
        <v>429140980.01250005</v>
      </c>
      <c r="O25" s="24">
        <v>384755041.17597884</v>
      </c>
      <c r="P25" s="24">
        <f t="shared" si="4"/>
        <v>5771325617.6396828</v>
      </c>
      <c r="Q25" s="23">
        <f t="shared" si="5"/>
        <v>7.4357436825407741E-2</v>
      </c>
      <c r="R25" s="23">
        <f t="shared" si="6"/>
        <v>2.4785812275135915E-2</v>
      </c>
      <c r="S25" s="23">
        <f t="shared" si="7"/>
        <v>0.22307231047622322</v>
      </c>
    </row>
    <row r="26" spans="1:19" ht="15" customHeight="1" x14ac:dyDescent="0.25">
      <c r="A26" s="19" t="s">
        <v>73</v>
      </c>
      <c r="B26" s="19" t="s">
        <v>72</v>
      </c>
      <c r="C26" s="19" t="s">
        <v>40</v>
      </c>
      <c r="D26" s="19" t="s">
        <v>35</v>
      </c>
      <c r="E26" s="24">
        <v>13665316</v>
      </c>
      <c r="F26" s="21">
        <v>76.3</v>
      </c>
      <c r="G26" s="21">
        <f>100-F26</f>
        <v>23.700000000000003</v>
      </c>
      <c r="H26" s="24">
        <f t="shared" si="0"/>
        <v>3238679.892</v>
      </c>
      <c r="I26" s="36">
        <f t="shared" si="1"/>
        <v>3238679.892</v>
      </c>
      <c r="J26" s="19">
        <v>150</v>
      </c>
      <c r="K26" s="19">
        <f>0.02*10*365*7.5</f>
        <v>547.5</v>
      </c>
      <c r="L26" s="19">
        <f>0.08*150*7.5</f>
        <v>90</v>
      </c>
      <c r="M26" s="24">
        <f t="shared" si="2"/>
        <v>2550460414.9499998</v>
      </c>
      <c r="N26" s="36">
        <f t="shared" si="3"/>
        <v>2550460414.9499998</v>
      </c>
      <c r="O26" s="24">
        <v>3943593093.8863621</v>
      </c>
      <c r="P26" s="24">
        <f t="shared" si="4"/>
        <v>59153896408.295433</v>
      </c>
      <c r="Q26" s="23">
        <f t="shared" si="5"/>
        <v>4.3115679098229893E-2</v>
      </c>
      <c r="R26" s="23">
        <f t="shared" si="6"/>
        <v>1.4371893032743298E-2</v>
      </c>
      <c r="S26" s="23">
        <f t="shared" si="7"/>
        <v>0.12934703729468969</v>
      </c>
    </row>
    <row r="27" spans="1:19" ht="15" customHeight="1" x14ac:dyDescent="0.25">
      <c r="A27" s="19" t="s">
        <v>75</v>
      </c>
      <c r="B27" s="19" t="s">
        <v>74</v>
      </c>
      <c r="C27" s="19" t="s">
        <v>18</v>
      </c>
      <c r="D27" s="19" t="s">
        <v>19</v>
      </c>
      <c r="E27" s="24">
        <v>3700255</v>
      </c>
      <c r="F27" s="21">
        <v>77.143653639999997</v>
      </c>
      <c r="G27" s="21">
        <f>100-F27</f>
        <v>22.856346360000003</v>
      </c>
      <c r="H27" s="24">
        <f t="shared" si="0"/>
        <v>845743.09900321811</v>
      </c>
      <c r="I27" s="36">
        <f t="shared" si="1"/>
        <v>845743.09900321811</v>
      </c>
      <c r="J27" s="19">
        <v>150</v>
      </c>
      <c r="K27" s="19">
        <f>0.02*10*365*7.5</f>
        <v>547.5</v>
      </c>
      <c r="L27" s="19">
        <f>0.08*150*7.5</f>
        <v>90</v>
      </c>
      <c r="M27" s="24">
        <f t="shared" si="2"/>
        <v>666022690.46503425</v>
      </c>
      <c r="N27" s="36">
        <f t="shared" si="3"/>
        <v>666022690.46503425</v>
      </c>
      <c r="O27" s="24">
        <v>595625627.44246328</v>
      </c>
      <c r="P27" s="24">
        <f t="shared" si="4"/>
        <v>8934384411.6369495</v>
      </c>
      <c r="Q27" s="23">
        <f t="shared" si="5"/>
        <v>7.4546007847787046E-2</v>
      </c>
      <c r="R27" s="23">
        <f t="shared" si="6"/>
        <v>2.484866928259568E-2</v>
      </c>
      <c r="S27" s="23">
        <f t="shared" si="7"/>
        <v>0.22363802354336113</v>
      </c>
    </row>
    <row r="28" spans="1:19" ht="15" customHeight="1" x14ac:dyDescent="0.25">
      <c r="A28" s="19" t="s">
        <v>77</v>
      </c>
      <c r="B28" s="19" t="s">
        <v>76</v>
      </c>
      <c r="C28" s="19" t="s">
        <v>18</v>
      </c>
      <c r="D28" s="19" t="s">
        <v>32</v>
      </c>
      <c r="E28" s="24">
        <v>2347860</v>
      </c>
      <c r="F28" s="21">
        <v>98.462566137706347</v>
      </c>
      <c r="G28" s="21">
        <f>100-F28</f>
        <v>1.5374338622936534</v>
      </c>
      <c r="H28" s="24">
        <f t="shared" si="0"/>
        <v>36096.794679247767</v>
      </c>
      <c r="I28" s="36">
        <f t="shared" si="1"/>
        <v>36096.794679247767</v>
      </c>
      <c r="J28" s="19">
        <v>150</v>
      </c>
      <c r="K28" s="19">
        <f>0.02*10*365*7.5</f>
        <v>547.5</v>
      </c>
      <c r="L28" s="19">
        <f>0.08*150*7.5</f>
        <v>90</v>
      </c>
      <c r="M28" s="24">
        <f t="shared" si="2"/>
        <v>28426225.809907615</v>
      </c>
      <c r="N28" s="36">
        <f t="shared" si="3"/>
        <v>28426225.809907615</v>
      </c>
      <c r="O28" s="24">
        <v>686157389.38852191</v>
      </c>
      <c r="P28" s="24">
        <f t="shared" si="4"/>
        <v>10292360840.827829</v>
      </c>
      <c r="Q28" s="23">
        <f t="shared" si="5"/>
        <v>2.7618761379941334E-3</v>
      </c>
      <c r="R28" s="23">
        <f t="shared" si="6"/>
        <v>9.2062537933137773E-4</v>
      </c>
      <c r="S28" s="23">
        <f t="shared" si="7"/>
        <v>8.2856284139824002E-3</v>
      </c>
    </row>
    <row r="29" spans="1:19" ht="15" customHeight="1" x14ac:dyDescent="0.25">
      <c r="A29" s="19" t="s">
        <v>79</v>
      </c>
      <c r="B29" s="19" t="s">
        <v>78</v>
      </c>
      <c r="C29" s="19" t="s">
        <v>18</v>
      </c>
      <c r="D29" s="19" t="s">
        <v>35</v>
      </c>
      <c r="E29" s="24">
        <v>222748294</v>
      </c>
      <c r="F29" s="21">
        <v>91.778400390000002</v>
      </c>
      <c r="G29" s="21">
        <f>100-F29</f>
        <v>8.2215996099999984</v>
      </c>
      <c r="H29" s="24">
        <f t="shared" si="0"/>
        <v>18313472.87078565</v>
      </c>
      <c r="I29" s="36">
        <f t="shared" si="1"/>
        <v>18313472.87078565</v>
      </c>
      <c r="J29" s="19">
        <v>150</v>
      </c>
      <c r="K29" s="19">
        <f>0.02*10*365*7.5</f>
        <v>547.5</v>
      </c>
      <c r="L29" s="19">
        <f>0.08*150*7.5</f>
        <v>90</v>
      </c>
      <c r="M29" s="24">
        <f t="shared" si="2"/>
        <v>14421859885.7437</v>
      </c>
      <c r="N29" s="36">
        <f t="shared" si="3"/>
        <v>14421859885.7437</v>
      </c>
      <c r="O29" s="24">
        <v>131651047125.59688</v>
      </c>
      <c r="P29" s="24">
        <f t="shared" si="4"/>
        <v>1974765706883.9531</v>
      </c>
      <c r="Q29" s="23">
        <f t="shared" si="5"/>
        <v>7.3030738965486801E-3</v>
      </c>
      <c r="R29" s="23">
        <f t="shared" si="6"/>
        <v>2.4343579655162267E-3</v>
      </c>
      <c r="S29" s="23">
        <f t="shared" si="7"/>
        <v>2.1909221689646041E-2</v>
      </c>
    </row>
    <row r="30" spans="1:19" ht="15" customHeight="1" x14ac:dyDescent="0.25">
      <c r="A30" s="19" t="s">
        <v>81</v>
      </c>
      <c r="B30" s="19" t="s">
        <v>80</v>
      </c>
      <c r="C30" s="19" t="s">
        <v>29</v>
      </c>
      <c r="D30" s="19" t="s">
        <v>26</v>
      </c>
      <c r="E30" s="24">
        <v>499424</v>
      </c>
      <c r="F30" s="21" t="s">
        <v>232</v>
      </c>
      <c r="G30" s="21">
        <v>31.129346349193881</v>
      </c>
      <c r="H30" s="24">
        <f t="shared" si="0"/>
        <v>155467.42671099806</v>
      </c>
      <c r="I30" s="36">
        <f t="shared" si="1"/>
        <v>155467.42671099806</v>
      </c>
      <c r="J30" s="19">
        <v>150</v>
      </c>
      <c r="K30" s="19">
        <f>0.02*10*365*7.5</f>
        <v>547.5</v>
      </c>
      <c r="L30" s="19">
        <f>0.08*150*7.5</f>
        <v>90</v>
      </c>
      <c r="M30" s="24">
        <f t="shared" si="2"/>
        <v>122430598.53491098</v>
      </c>
      <c r="N30" s="36">
        <f t="shared" si="3"/>
        <v>122430598.53491098</v>
      </c>
      <c r="O30" s="24">
        <v>5618749657.8090668</v>
      </c>
      <c r="P30" s="24">
        <f t="shared" si="4"/>
        <v>84281244867.136002</v>
      </c>
      <c r="Q30" s="23">
        <f t="shared" si="5"/>
        <v>1.4526434526200341E-3</v>
      </c>
      <c r="R30" s="23">
        <f t="shared" si="6"/>
        <v>4.8421448420667802E-4</v>
      </c>
      <c r="S30" s="23">
        <f t="shared" si="7"/>
        <v>4.357930357860103E-3</v>
      </c>
    </row>
    <row r="31" spans="1:19" ht="15" customHeight="1" x14ac:dyDescent="0.25">
      <c r="A31" s="19" t="s">
        <v>83</v>
      </c>
      <c r="B31" s="19" t="s">
        <v>82</v>
      </c>
      <c r="C31" s="19" t="s">
        <v>18</v>
      </c>
      <c r="D31" s="19" t="s">
        <v>19</v>
      </c>
      <c r="E31" s="24">
        <v>6213179</v>
      </c>
      <c r="F31" s="21">
        <v>62.567213879999997</v>
      </c>
      <c r="G31" s="21">
        <f>100-F31</f>
        <v>37.432786120000003</v>
      </c>
      <c r="H31" s="24">
        <f t="shared" si="0"/>
        <v>2325766.006322755</v>
      </c>
      <c r="I31" s="36">
        <f t="shared" si="1"/>
        <v>2325766.006322755</v>
      </c>
      <c r="J31" s="19">
        <v>150</v>
      </c>
      <c r="K31" s="19">
        <f>0.02*10*365*7.5</f>
        <v>547.5</v>
      </c>
      <c r="L31" s="19">
        <f>0.08*150*7.5</f>
        <v>90</v>
      </c>
      <c r="M31" s="24">
        <f t="shared" si="2"/>
        <v>1831540729.9791696</v>
      </c>
      <c r="N31" s="36">
        <f t="shared" si="3"/>
        <v>1831540729.9791696</v>
      </c>
      <c r="O31" s="24">
        <v>1236205124.2998753</v>
      </c>
      <c r="P31" s="24">
        <f t="shared" si="4"/>
        <v>18543076864.498131</v>
      </c>
      <c r="Q31" s="23">
        <f t="shared" si="5"/>
        <v>9.8772212581708471E-2</v>
      </c>
      <c r="R31" s="23">
        <f t="shared" si="6"/>
        <v>3.292407086056949E-2</v>
      </c>
      <c r="S31" s="23">
        <f t="shared" si="7"/>
        <v>0.2963166377451254</v>
      </c>
    </row>
    <row r="32" spans="1:19" ht="15" customHeight="1" x14ac:dyDescent="0.25">
      <c r="A32" s="19" t="s">
        <v>85</v>
      </c>
      <c r="B32" s="19" t="s">
        <v>84</v>
      </c>
      <c r="C32" s="19" t="s">
        <v>14</v>
      </c>
      <c r="D32" s="19" t="s">
        <v>32</v>
      </c>
      <c r="E32" s="24">
        <v>26564341</v>
      </c>
      <c r="F32" s="21">
        <v>29.546907713498626</v>
      </c>
      <c r="G32" s="21">
        <f>100-F32</f>
        <v>70.453092286501374</v>
      </c>
      <c r="H32" s="24">
        <f t="shared" si="0"/>
        <v>18715399.680030923</v>
      </c>
      <c r="I32" s="36">
        <f t="shared" si="1"/>
        <v>18715399.680030923</v>
      </c>
      <c r="J32" s="19">
        <v>150</v>
      </c>
      <c r="K32" s="19">
        <f>0.02*10*365*7.5</f>
        <v>547.5</v>
      </c>
      <c r="L32" s="19">
        <f>0.08*150*7.5</f>
        <v>90</v>
      </c>
      <c r="M32" s="24">
        <f t="shared" si="2"/>
        <v>14738377248.024353</v>
      </c>
      <c r="N32" s="36">
        <f t="shared" si="3"/>
        <v>14738377248.024353</v>
      </c>
      <c r="O32" s="24">
        <v>1409883719.9157445</v>
      </c>
      <c r="P32" s="24">
        <f t="shared" si="4"/>
        <v>21148255798.736168</v>
      </c>
      <c r="Q32" s="23">
        <f t="shared" si="5"/>
        <v>0.69690746075168652</v>
      </c>
      <c r="R32" s="23">
        <f t="shared" si="6"/>
        <v>0.23230248691722885</v>
      </c>
      <c r="S32" s="23">
        <f t="shared" si="7"/>
        <v>2.0907223822550596</v>
      </c>
    </row>
    <row r="33" spans="1:19" ht="15" customHeight="1" x14ac:dyDescent="0.25">
      <c r="A33" s="19" t="s">
        <v>87</v>
      </c>
      <c r="B33" s="19" t="s">
        <v>86</v>
      </c>
      <c r="C33" s="19" t="s">
        <v>14</v>
      </c>
      <c r="D33" s="19" t="s">
        <v>32</v>
      </c>
      <c r="E33" s="24">
        <v>16392402.999999998</v>
      </c>
      <c r="F33" s="21">
        <v>0.8</v>
      </c>
      <c r="G33" s="21">
        <f>100-F33</f>
        <v>99.2</v>
      </c>
      <c r="H33" s="24">
        <f t="shared" si="0"/>
        <v>16261263.775999999</v>
      </c>
      <c r="I33" s="36">
        <f t="shared" si="1"/>
        <v>16261263.775999999</v>
      </c>
      <c r="J33" s="19">
        <v>150</v>
      </c>
      <c r="K33" s="19">
        <f>0.02*10*365*7.5</f>
        <v>547.5</v>
      </c>
      <c r="L33" s="19">
        <f>0.08*150*7.5</f>
        <v>90</v>
      </c>
      <c r="M33" s="24">
        <f t="shared" si="2"/>
        <v>12805745223.599998</v>
      </c>
      <c r="N33" s="36">
        <f t="shared" si="3"/>
        <v>12805745223.599998</v>
      </c>
      <c r="O33" s="24">
        <v>551752484.64932442</v>
      </c>
      <c r="P33" s="24">
        <f t="shared" si="4"/>
        <v>8276287269.7398663</v>
      </c>
      <c r="Q33" s="23">
        <f t="shared" si="5"/>
        <v>1.5472813843015019</v>
      </c>
      <c r="R33" s="23">
        <f t="shared" si="6"/>
        <v>0.51576046143383403</v>
      </c>
      <c r="S33" s="23">
        <f t="shared" si="7"/>
        <v>4.6418441529045058</v>
      </c>
    </row>
    <row r="34" spans="1:19" ht="15" customHeight="1" x14ac:dyDescent="0.25">
      <c r="A34" s="19" t="s">
        <v>89</v>
      </c>
      <c r="B34" s="19" t="s">
        <v>88</v>
      </c>
      <c r="C34" s="19" t="s">
        <v>40</v>
      </c>
      <c r="D34" s="19" t="s">
        <v>32</v>
      </c>
      <c r="E34" s="24">
        <v>576734</v>
      </c>
      <c r="F34" s="21">
        <v>75.7</v>
      </c>
      <c r="G34" s="21">
        <f>100-F34</f>
        <v>24.299999999999997</v>
      </c>
      <c r="H34" s="24">
        <f t="shared" si="0"/>
        <v>140146.36199999999</v>
      </c>
      <c r="I34" s="36">
        <f t="shared" si="1"/>
        <v>140146.36199999999</v>
      </c>
      <c r="J34" s="19">
        <v>150</v>
      </c>
      <c r="K34" s="19">
        <f>0.02*10*365*7.5</f>
        <v>547.5</v>
      </c>
      <c r="L34" s="19">
        <f>0.08*150*7.5</f>
        <v>90</v>
      </c>
      <c r="M34" s="24">
        <f t="shared" si="2"/>
        <v>110365260.07499999</v>
      </c>
      <c r="N34" s="36">
        <f t="shared" si="3"/>
        <v>110365260.07499999</v>
      </c>
      <c r="O34" s="24">
        <v>9544520.9551698435</v>
      </c>
      <c r="P34" s="24">
        <f t="shared" si="4"/>
        <v>143167814.32754764</v>
      </c>
      <c r="Q34" s="23">
        <f t="shared" si="5"/>
        <v>0.77088038672225545</v>
      </c>
      <c r="R34" s="23">
        <f t="shared" si="6"/>
        <v>0.25696012890741848</v>
      </c>
      <c r="S34" s="23">
        <f t="shared" si="7"/>
        <v>2.3126411601667662</v>
      </c>
    </row>
    <row r="35" spans="1:19" ht="15" customHeight="1" x14ac:dyDescent="0.25">
      <c r="A35" s="19" t="s">
        <v>91</v>
      </c>
      <c r="B35" s="19" t="s">
        <v>90</v>
      </c>
      <c r="C35" s="19" t="s">
        <v>14</v>
      </c>
      <c r="D35" s="19" t="s">
        <v>26</v>
      </c>
      <c r="E35" s="24">
        <v>19143612</v>
      </c>
      <c r="F35" s="21">
        <v>61.9</v>
      </c>
      <c r="G35" s="21">
        <f>100-F35</f>
        <v>38.1</v>
      </c>
      <c r="H35" s="24">
        <f t="shared" si="0"/>
        <v>7293716.1720000003</v>
      </c>
      <c r="I35" s="36">
        <f t="shared" si="1"/>
        <v>7293716.1720000003</v>
      </c>
      <c r="J35" s="19">
        <v>150</v>
      </c>
      <c r="K35" s="19">
        <f>0.02*10*365*7.5</f>
        <v>547.5</v>
      </c>
      <c r="L35" s="19">
        <f>0.08*150*7.5</f>
        <v>90</v>
      </c>
      <c r="M35" s="24">
        <f t="shared" si="2"/>
        <v>5743801485.4499998</v>
      </c>
      <c r="N35" s="36">
        <f t="shared" si="3"/>
        <v>5743801485.4499998</v>
      </c>
      <c r="O35" s="24">
        <v>433167180.30280077</v>
      </c>
      <c r="P35" s="24">
        <f t="shared" si="4"/>
        <v>6497507704.5420113</v>
      </c>
      <c r="Q35" s="23">
        <f t="shared" si="5"/>
        <v>0.88400071945045311</v>
      </c>
      <c r="R35" s="23">
        <f t="shared" si="6"/>
        <v>0.29466690648348437</v>
      </c>
      <c r="S35" s="23">
        <f t="shared" si="7"/>
        <v>2.6520021583513591</v>
      </c>
    </row>
    <row r="36" spans="1:19" ht="15" customHeight="1" x14ac:dyDescent="0.25">
      <c r="A36" s="19" t="s">
        <v>93</v>
      </c>
      <c r="B36" s="19" t="s">
        <v>92</v>
      </c>
      <c r="C36" s="19" t="s">
        <v>40</v>
      </c>
      <c r="D36" s="19" t="s">
        <v>32</v>
      </c>
      <c r="E36" s="24">
        <v>33074214.999999996</v>
      </c>
      <c r="F36" s="21">
        <v>45</v>
      </c>
      <c r="G36" s="21">
        <f>100-F36</f>
        <v>55</v>
      </c>
      <c r="H36" s="24">
        <f t="shared" si="0"/>
        <v>18190818.25</v>
      </c>
      <c r="I36" s="36">
        <f t="shared" si="1"/>
        <v>18190818.25</v>
      </c>
      <c r="J36" s="19">
        <v>150</v>
      </c>
      <c r="K36" s="19">
        <f>0.02*10*365*7.5</f>
        <v>547.5</v>
      </c>
      <c r="L36" s="19">
        <f>0.08*150*7.5</f>
        <v>90</v>
      </c>
      <c r="M36" s="24">
        <f t="shared" si="2"/>
        <v>14325269371.875</v>
      </c>
      <c r="N36" s="36">
        <f t="shared" si="3"/>
        <v>14325269371.875</v>
      </c>
      <c r="O36" s="24">
        <v>2416929494.6420951</v>
      </c>
      <c r="P36" s="24">
        <f t="shared" si="4"/>
        <v>36253942419.631424</v>
      </c>
      <c r="Q36" s="23">
        <f t="shared" si="5"/>
        <v>0.39513687107634121</v>
      </c>
      <c r="R36" s="23">
        <f t="shared" si="6"/>
        <v>0.1317122903587804</v>
      </c>
      <c r="S36" s="23">
        <f t="shared" si="7"/>
        <v>1.1854106132290236</v>
      </c>
    </row>
    <row r="37" spans="1:19" ht="15" customHeight="1" x14ac:dyDescent="0.25">
      <c r="A37" s="19" t="s">
        <v>95</v>
      </c>
      <c r="B37" s="19" t="s">
        <v>94</v>
      </c>
      <c r="C37" s="19" t="s">
        <v>45</v>
      </c>
      <c r="D37" s="19" t="s">
        <v>69</v>
      </c>
      <c r="E37" s="24">
        <v>40616997</v>
      </c>
      <c r="F37" s="21">
        <v>89.325535959999996</v>
      </c>
      <c r="G37" s="21">
        <f>100-F37</f>
        <v>10.674464040000004</v>
      </c>
      <c r="H37" s="24">
        <f t="shared" si="0"/>
        <v>4335646.7388928803</v>
      </c>
      <c r="I37" s="36">
        <f t="shared" si="1"/>
        <v>4335646.7388928803</v>
      </c>
      <c r="J37" s="19">
        <v>150</v>
      </c>
      <c r="K37" s="19">
        <f>0.02*10*365*7.5</f>
        <v>547.5</v>
      </c>
      <c r="L37" s="19">
        <f>0.08*150*7.5</f>
        <v>90</v>
      </c>
      <c r="M37" s="24">
        <f t="shared" si="2"/>
        <v>3414321806.8781433</v>
      </c>
      <c r="N37" s="36">
        <f t="shared" si="3"/>
        <v>3414321806.8781433</v>
      </c>
      <c r="O37" s="24">
        <v>66550602359.385544</v>
      </c>
      <c r="P37" s="24">
        <f t="shared" si="4"/>
        <v>998259035390.7832</v>
      </c>
      <c r="Q37" s="23">
        <f t="shared" si="5"/>
        <v>3.420276387021688E-3</v>
      </c>
      <c r="R37" s="23">
        <f t="shared" si="6"/>
        <v>1.1400921290072293E-3</v>
      </c>
      <c r="S37" s="23">
        <f t="shared" si="7"/>
        <v>1.0260829161065063E-2</v>
      </c>
    </row>
    <row r="38" spans="1:19" ht="15" customHeight="1" x14ac:dyDescent="0.25">
      <c r="A38" s="31" t="s">
        <v>97</v>
      </c>
      <c r="B38" s="31" t="s">
        <v>96</v>
      </c>
      <c r="C38" s="31" t="s">
        <v>29</v>
      </c>
      <c r="D38" s="31" t="s">
        <v>35</v>
      </c>
      <c r="E38" s="30">
        <v>66552</v>
      </c>
      <c r="F38" s="27">
        <v>99.668683533999996</v>
      </c>
      <c r="G38" s="27">
        <f>100-F38</f>
        <v>0.33131646600000408</v>
      </c>
      <c r="H38" s="24">
        <f t="shared" si="0"/>
        <v>220.4977344523227</v>
      </c>
      <c r="I38" s="36">
        <f t="shared" si="1"/>
        <v>220.4977344523227</v>
      </c>
      <c r="J38" s="31">
        <v>150</v>
      </c>
      <c r="K38" s="31">
        <f>0.02*10*365*7.5</f>
        <v>547.5</v>
      </c>
      <c r="L38" s="31">
        <f>0.08*150*7.5</f>
        <v>90</v>
      </c>
      <c r="M38" s="24">
        <f t="shared" si="2"/>
        <v>173641.96588120412</v>
      </c>
      <c r="N38" s="36">
        <f t="shared" si="3"/>
        <v>173641.96588120412</v>
      </c>
      <c r="O38" s="24" t="s">
        <v>232</v>
      </c>
      <c r="P38" s="24" t="e">
        <f t="shared" si="4"/>
        <v>#VALUE!</v>
      </c>
      <c r="Q38" s="23" t="e">
        <f t="shared" si="5"/>
        <v>#VALUE!</v>
      </c>
      <c r="R38" s="23" t="e">
        <f t="shared" si="6"/>
        <v>#VALUE!</v>
      </c>
      <c r="S38" s="23" t="e">
        <f t="shared" si="7"/>
        <v>#VALUE!</v>
      </c>
    </row>
    <row r="39" spans="1:19" ht="15" customHeight="1" x14ac:dyDescent="0.25">
      <c r="A39" s="19" t="s">
        <v>99</v>
      </c>
      <c r="B39" s="19" t="s">
        <v>98</v>
      </c>
      <c r="C39" s="19" t="s">
        <v>14</v>
      </c>
      <c r="D39" s="19" t="s">
        <v>32</v>
      </c>
      <c r="E39" s="24">
        <v>6318381</v>
      </c>
      <c r="F39" s="21" t="s">
        <v>232</v>
      </c>
      <c r="G39" s="21">
        <v>59.651025134275415</v>
      </c>
      <c r="H39" s="24">
        <f t="shared" si="0"/>
        <v>3768979.0383892823</v>
      </c>
      <c r="I39" s="36">
        <f t="shared" si="1"/>
        <v>3768979.0383892823</v>
      </c>
      <c r="J39" s="19">
        <v>150</v>
      </c>
      <c r="K39" s="19">
        <f>0.02*10*365*7.5</f>
        <v>547.5</v>
      </c>
      <c r="L39" s="19">
        <f>0.08*150*7.5</f>
        <v>90</v>
      </c>
      <c r="M39" s="24">
        <f t="shared" si="2"/>
        <v>2968070992.7315598</v>
      </c>
      <c r="N39" s="36">
        <f t="shared" si="3"/>
        <v>2968070992.7315598</v>
      </c>
      <c r="O39" s="24">
        <v>165997754.82625589</v>
      </c>
      <c r="P39" s="24">
        <f t="shared" si="4"/>
        <v>2489966322.3938384</v>
      </c>
      <c r="Q39" s="23">
        <f t="shared" si="5"/>
        <v>1.192012504762745</v>
      </c>
      <c r="R39" s="23">
        <f t="shared" si="6"/>
        <v>0.39733750158758169</v>
      </c>
      <c r="S39" s="23">
        <f t="shared" si="7"/>
        <v>3.5760375142882346</v>
      </c>
    </row>
    <row r="40" spans="1:19" ht="15" customHeight="1" x14ac:dyDescent="0.25">
      <c r="A40" s="19" t="s">
        <v>101</v>
      </c>
      <c r="B40" s="19" t="s">
        <v>100</v>
      </c>
      <c r="C40" s="19" t="s">
        <v>14</v>
      </c>
      <c r="D40" s="19" t="s">
        <v>32</v>
      </c>
      <c r="E40" s="24">
        <v>20877527</v>
      </c>
      <c r="F40" s="21">
        <v>0.7</v>
      </c>
      <c r="G40" s="21">
        <f>100-F40</f>
        <v>99.3</v>
      </c>
      <c r="H40" s="24">
        <f t="shared" si="0"/>
        <v>20731384.311000001</v>
      </c>
      <c r="I40" s="36">
        <f t="shared" si="1"/>
        <v>20731384.311000001</v>
      </c>
      <c r="J40" s="19">
        <v>150</v>
      </c>
      <c r="K40" s="19">
        <f>0.02*10*365*7.5</f>
        <v>547.5</v>
      </c>
      <c r="L40" s="19">
        <f>0.08*150*7.5</f>
        <v>90</v>
      </c>
      <c r="M40" s="24">
        <f t="shared" si="2"/>
        <v>16325965144.9125</v>
      </c>
      <c r="N40" s="36">
        <f t="shared" si="3"/>
        <v>16325965144.9125</v>
      </c>
      <c r="O40" s="24">
        <v>3554600897.019742</v>
      </c>
      <c r="P40" s="24">
        <f t="shared" si="4"/>
        <v>53319013455.296127</v>
      </c>
      <c r="Q40" s="23">
        <f t="shared" si="5"/>
        <v>0.30619405887171114</v>
      </c>
      <c r="R40" s="23">
        <f t="shared" si="6"/>
        <v>0.10206468629057039</v>
      </c>
      <c r="S40" s="23">
        <f t="shared" si="7"/>
        <v>0.91858217661513342</v>
      </c>
    </row>
    <row r="41" spans="1:19" ht="15" customHeight="1" x14ac:dyDescent="0.25">
      <c r="A41" s="19" t="s">
        <v>103</v>
      </c>
      <c r="B41" s="19" t="s">
        <v>102</v>
      </c>
      <c r="C41" s="19" t="s">
        <v>29</v>
      </c>
      <c r="D41" s="19" t="s">
        <v>19</v>
      </c>
      <c r="E41" s="24">
        <v>173587</v>
      </c>
      <c r="F41" s="21" t="s">
        <v>232</v>
      </c>
      <c r="G41" s="21">
        <v>14.792992315545245</v>
      </c>
      <c r="H41" s="24">
        <f t="shared" si="0"/>
        <v>25678.711570785523</v>
      </c>
      <c r="I41" s="36">
        <f t="shared" si="1"/>
        <v>25678.711570785523</v>
      </c>
      <c r="J41" s="19">
        <v>150</v>
      </c>
      <c r="K41" s="19">
        <f>0.02*10*365*7.5</f>
        <v>547.5</v>
      </c>
      <c r="L41" s="19">
        <f>0.08*150*7.5</f>
        <v>90</v>
      </c>
      <c r="M41" s="24">
        <f t="shared" si="2"/>
        <v>20221985.3619936</v>
      </c>
      <c r="N41" s="36">
        <f t="shared" si="3"/>
        <v>20221985.3619936</v>
      </c>
      <c r="O41" s="24" t="s">
        <v>232</v>
      </c>
      <c r="P41" s="24" t="e">
        <f t="shared" si="4"/>
        <v>#VALUE!</v>
      </c>
      <c r="Q41" s="23" t="e">
        <f t="shared" si="5"/>
        <v>#VALUE!</v>
      </c>
      <c r="R41" s="23" t="e">
        <f t="shared" si="6"/>
        <v>#VALUE!</v>
      </c>
      <c r="S41" s="23" t="e">
        <f t="shared" si="7"/>
        <v>#VALUE!</v>
      </c>
    </row>
    <row r="42" spans="1:19" x14ac:dyDescent="0.25">
      <c r="A42" s="19" t="s">
        <v>105</v>
      </c>
      <c r="B42" s="19" t="s">
        <v>104</v>
      </c>
      <c r="C42" s="19" t="s">
        <v>45</v>
      </c>
      <c r="D42" s="19" t="s">
        <v>35</v>
      </c>
      <c r="E42" s="24">
        <v>19814578</v>
      </c>
      <c r="F42" s="21">
        <v>94.234921388452392</v>
      </c>
      <c r="G42" s="21">
        <f>100-F42</f>
        <v>5.765078611547608</v>
      </c>
      <c r="H42" s="24">
        <f t="shared" si="0"/>
        <v>1142325.9982464178</v>
      </c>
      <c r="I42" s="36">
        <f t="shared" si="1"/>
        <v>1142325.9982464178</v>
      </c>
      <c r="J42" s="19">
        <v>150</v>
      </c>
      <c r="K42" s="19">
        <f>0.02*10*365*7.5</f>
        <v>547.5</v>
      </c>
      <c r="L42" s="19">
        <f>0.08*150*7.5</f>
        <v>90</v>
      </c>
      <c r="M42" s="24">
        <f t="shared" si="2"/>
        <v>899581723.61905408</v>
      </c>
      <c r="N42" s="36">
        <f t="shared" si="3"/>
        <v>899581723.61905408</v>
      </c>
      <c r="O42" s="24">
        <v>42609019124.162964</v>
      </c>
      <c r="P42" s="24">
        <f t="shared" si="4"/>
        <v>639135286862.44446</v>
      </c>
      <c r="Q42" s="23">
        <f t="shared" si="5"/>
        <v>1.407498133979048E-3</v>
      </c>
      <c r="R42" s="23">
        <f t="shared" si="6"/>
        <v>4.6916604465968261E-4</v>
      </c>
      <c r="S42" s="23">
        <f t="shared" si="7"/>
        <v>4.2224944019371444E-3</v>
      </c>
    </row>
    <row r="43" spans="1:19" ht="15" customHeight="1" x14ac:dyDescent="0.25">
      <c r="A43" s="19" t="s">
        <v>107</v>
      </c>
      <c r="B43" s="19" t="s">
        <v>106</v>
      </c>
      <c r="C43" s="19" t="s">
        <v>18</v>
      </c>
      <c r="D43" s="19" t="s">
        <v>26</v>
      </c>
      <c r="E43" s="24">
        <v>1453297304</v>
      </c>
      <c r="F43" s="21" t="s">
        <v>232</v>
      </c>
      <c r="G43" s="21">
        <v>31.129346349193881</v>
      </c>
      <c r="H43" s="24">
        <f t="shared" si="0"/>
        <v>452401951.24565709</v>
      </c>
      <c r="I43" s="36">
        <f t="shared" si="1"/>
        <v>452401951.24565709</v>
      </c>
      <c r="J43" s="19">
        <v>150</v>
      </c>
      <c r="K43" s="19">
        <f>0.02*10*365*7.5</f>
        <v>547.5</v>
      </c>
      <c r="L43" s="19">
        <f>0.08*150*7.5</f>
        <v>90</v>
      </c>
      <c r="M43" s="24">
        <f t="shared" si="2"/>
        <v>356266536605.95496</v>
      </c>
      <c r="N43" s="36">
        <f t="shared" si="3"/>
        <v>356266536605.95496</v>
      </c>
      <c r="O43" s="24">
        <v>412412144329.84637</v>
      </c>
      <c r="P43" s="24">
        <f t="shared" si="4"/>
        <v>6186182164947.6953</v>
      </c>
      <c r="Q43" s="23">
        <f t="shared" si="5"/>
        <v>5.7590696023250267E-2</v>
      </c>
      <c r="R43" s="23">
        <f t="shared" si="6"/>
        <v>1.9196898674416756E-2</v>
      </c>
      <c r="S43" s="23">
        <f t="shared" si="7"/>
        <v>0.17277208806975081</v>
      </c>
    </row>
    <row r="44" spans="1:19" ht="15" customHeight="1" x14ac:dyDescent="0.25">
      <c r="A44" s="19" t="s">
        <v>109</v>
      </c>
      <c r="B44" s="19" t="s">
        <v>108</v>
      </c>
      <c r="C44" s="19" t="s">
        <v>18</v>
      </c>
      <c r="D44" s="19" t="s">
        <v>35</v>
      </c>
      <c r="E44" s="24">
        <v>57219408</v>
      </c>
      <c r="F44" s="21">
        <v>90.5</v>
      </c>
      <c r="G44" s="21">
        <f>100-F44</f>
        <v>9.5</v>
      </c>
      <c r="H44" s="24">
        <f t="shared" si="0"/>
        <v>5435843.7599999998</v>
      </c>
      <c r="I44" s="36">
        <f t="shared" si="1"/>
        <v>5435843.7599999998</v>
      </c>
      <c r="J44" s="19">
        <v>150</v>
      </c>
      <c r="K44" s="19">
        <f>0.02*10*365*7.5</f>
        <v>547.5</v>
      </c>
      <c r="L44" s="19">
        <f>0.08*150*7.5</f>
        <v>90</v>
      </c>
      <c r="M44" s="24">
        <f t="shared" si="2"/>
        <v>4280726961</v>
      </c>
      <c r="N44" s="36">
        <f t="shared" si="3"/>
        <v>4280726961</v>
      </c>
      <c r="O44" s="24">
        <v>27613795592.874363</v>
      </c>
      <c r="P44" s="24">
        <f t="shared" si="4"/>
        <v>414206933893.11542</v>
      </c>
      <c r="Q44" s="23">
        <f t="shared" si="5"/>
        <v>1.0334754468655578E-2</v>
      </c>
      <c r="R44" s="23">
        <f t="shared" si="6"/>
        <v>3.4449181562185259E-3</v>
      </c>
      <c r="S44" s="23">
        <f t="shared" si="7"/>
        <v>3.1004263405966733E-2</v>
      </c>
    </row>
    <row r="45" spans="1:19" ht="15" customHeight="1" x14ac:dyDescent="0.25">
      <c r="A45" s="19" t="s">
        <v>111</v>
      </c>
      <c r="B45" s="19" t="s">
        <v>110</v>
      </c>
      <c r="C45" s="19" t="s">
        <v>14</v>
      </c>
      <c r="D45" s="19" t="s">
        <v>32</v>
      </c>
      <c r="E45" s="24">
        <v>1057197</v>
      </c>
      <c r="F45" s="21">
        <v>6.3</v>
      </c>
      <c r="G45" s="21">
        <f>100-F45</f>
        <v>93.7</v>
      </c>
      <c r="H45" s="24">
        <f t="shared" si="0"/>
        <v>990593.58900000004</v>
      </c>
      <c r="I45" s="36">
        <f t="shared" si="1"/>
        <v>990593.58900000004</v>
      </c>
      <c r="J45" s="19">
        <v>150</v>
      </c>
      <c r="K45" s="19">
        <f>0.02*10*365*7.5</f>
        <v>547.5</v>
      </c>
      <c r="L45" s="19">
        <f>0.08*150*7.5</f>
        <v>90</v>
      </c>
      <c r="M45" s="24">
        <f t="shared" si="2"/>
        <v>780092451.33749998</v>
      </c>
      <c r="N45" s="36">
        <f t="shared" si="3"/>
        <v>780092451.33749998</v>
      </c>
      <c r="O45" s="24">
        <v>15685686.317566991</v>
      </c>
      <c r="P45" s="24">
        <f t="shared" si="4"/>
        <v>235285294.76350486</v>
      </c>
      <c r="Q45" s="23">
        <f t="shared" si="5"/>
        <v>3.3155172409801628</v>
      </c>
      <c r="R45" s="23">
        <f t="shared" si="6"/>
        <v>1.1051724136600543</v>
      </c>
      <c r="S45" s="23">
        <f t="shared" si="7"/>
        <v>9.9465517229404874</v>
      </c>
    </row>
    <row r="46" spans="1:19" ht="15" customHeight="1" x14ac:dyDescent="0.25">
      <c r="A46" s="19" t="s">
        <v>113</v>
      </c>
      <c r="B46" s="19" t="s">
        <v>112</v>
      </c>
      <c r="C46" s="19" t="s">
        <v>14</v>
      </c>
      <c r="D46" s="19" t="s">
        <v>32</v>
      </c>
      <c r="E46" s="24">
        <v>103743184</v>
      </c>
      <c r="F46" s="21">
        <v>20.8</v>
      </c>
      <c r="G46" s="21">
        <f>100-F46</f>
        <v>79.2</v>
      </c>
      <c r="H46" s="24">
        <f t="shared" si="0"/>
        <v>82164601.728</v>
      </c>
      <c r="I46" s="36">
        <f t="shared" si="1"/>
        <v>82164601.728</v>
      </c>
      <c r="J46" s="19">
        <v>150</v>
      </c>
      <c r="K46" s="19">
        <f>0.02*10*365*7.5</f>
        <v>547.5</v>
      </c>
      <c r="L46" s="19">
        <f>0.08*150*7.5</f>
        <v>90</v>
      </c>
      <c r="M46" s="24">
        <f t="shared" si="2"/>
        <v>64704623860.800003</v>
      </c>
      <c r="N46" s="36">
        <f t="shared" si="3"/>
        <v>64704623860.800003</v>
      </c>
      <c r="O46" s="24">
        <v>7681552331.5239582</v>
      </c>
      <c r="P46" s="24">
        <f t="shared" si="4"/>
        <v>115223284972.85937</v>
      </c>
      <c r="Q46" s="23">
        <f t="shared" si="5"/>
        <v>0.56155857625514716</v>
      </c>
      <c r="R46" s="23">
        <f t="shared" si="6"/>
        <v>0.18718619208504905</v>
      </c>
      <c r="S46" s="23">
        <f t="shared" si="7"/>
        <v>1.6846757287654417</v>
      </c>
    </row>
    <row r="47" spans="1:19" s="31" customFormat="1" ht="15" customHeight="1" x14ac:dyDescent="0.25">
      <c r="A47" s="19" t="s">
        <v>115</v>
      </c>
      <c r="B47" s="19" t="s">
        <v>114</v>
      </c>
      <c r="C47" s="19" t="s">
        <v>40</v>
      </c>
      <c r="D47" s="19" t="s">
        <v>32</v>
      </c>
      <c r="E47" s="24">
        <v>6753771</v>
      </c>
      <c r="F47" s="21">
        <v>78.849999999999994</v>
      </c>
      <c r="G47" s="21">
        <f>100-F47</f>
        <v>21.150000000000006</v>
      </c>
      <c r="H47" s="24">
        <f t="shared" si="0"/>
        <v>1428422.5665000004</v>
      </c>
      <c r="I47" s="36">
        <f t="shared" si="1"/>
        <v>1428422.5665000004</v>
      </c>
      <c r="J47" s="19">
        <v>150</v>
      </c>
      <c r="K47" s="19">
        <f>0.02*10*365*7.5</f>
        <v>547.5</v>
      </c>
      <c r="L47" s="19">
        <f>0.08*150*7.5</f>
        <v>90</v>
      </c>
      <c r="M47" s="24">
        <f t="shared" si="2"/>
        <v>1124882771.1187503</v>
      </c>
      <c r="N47" s="36">
        <f t="shared" si="3"/>
        <v>1124882771.1187503</v>
      </c>
      <c r="O47" s="24">
        <v>7999753757.4398327</v>
      </c>
      <c r="P47" s="24">
        <f t="shared" si="4"/>
        <v>119996306361.59749</v>
      </c>
      <c r="Q47" s="23">
        <f t="shared" si="5"/>
        <v>9.3743116369684153E-3</v>
      </c>
      <c r="R47" s="23">
        <f t="shared" si="6"/>
        <v>3.1247705456561381E-3</v>
      </c>
      <c r="S47" s="23">
        <f t="shared" si="7"/>
        <v>2.8122934910905242E-2</v>
      </c>
    </row>
    <row r="48" spans="1:19" ht="15" customHeight="1" x14ac:dyDescent="0.25">
      <c r="A48" s="19" t="s">
        <v>117</v>
      </c>
      <c r="B48" s="19" t="s">
        <v>116</v>
      </c>
      <c r="C48" s="19" t="s">
        <v>18</v>
      </c>
      <c r="D48" s="19" t="s">
        <v>35</v>
      </c>
      <c r="E48" s="24">
        <v>5759573</v>
      </c>
      <c r="F48" s="21">
        <v>73.599999999999994</v>
      </c>
      <c r="G48" s="21">
        <f>100-F48</f>
        <v>26.400000000000006</v>
      </c>
      <c r="H48" s="24">
        <f t="shared" si="0"/>
        <v>1520527.2720000003</v>
      </c>
      <c r="I48" s="36">
        <f t="shared" si="1"/>
        <v>1520527.2720000003</v>
      </c>
      <c r="J48" s="19">
        <v>150</v>
      </c>
      <c r="K48" s="19">
        <f>0.02*10*365*7.5</f>
        <v>547.5</v>
      </c>
      <c r="L48" s="19">
        <f>0.08*150*7.5</f>
        <v>90</v>
      </c>
      <c r="M48" s="24">
        <f t="shared" si="2"/>
        <v>1197415226.7000003</v>
      </c>
      <c r="N48" s="36">
        <f t="shared" si="3"/>
        <v>1197415226.7000003</v>
      </c>
      <c r="O48" s="24">
        <v>447691904.68022686</v>
      </c>
      <c r="P48" s="24">
        <f t="shared" si="4"/>
        <v>6715378570.2034025</v>
      </c>
      <c r="Q48" s="23">
        <f t="shared" si="5"/>
        <v>0.1783094153489744</v>
      </c>
      <c r="R48" s="23">
        <f t="shared" si="6"/>
        <v>5.9436471782991468E-2</v>
      </c>
      <c r="S48" s="23">
        <f t="shared" si="7"/>
        <v>0.53492824604692313</v>
      </c>
    </row>
    <row r="49" spans="1:19" ht="15" customHeight="1" x14ac:dyDescent="0.25">
      <c r="A49" s="19" t="s">
        <v>119</v>
      </c>
      <c r="B49" s="19" t="s">
        <v>118</v>
      </c>
      <c r="C49" s="19" t="s">
        <v>40</v>
      </c>
      <c r="D49" s="19" t="s">
        <v>32</v>
      </c>
      <c r="E49" s="24">
        <v>29227188</v>
      </c>
      <c r="F49" s="21">
        <v>23</v>
      </c>
      <c r="G49" s="21">
        <f>100-F49</f>
        <v>77</v>
      </c>
      <c r="H49" s="24">
        <f t="shared" si="0"/>
        <v>22504934.760000002</v>
      </c>
      <c r="I49" s="36">
        <f t="shared" si="1"/>
        <v>22504934.760000002</v>
      </c>
      <c r="J49" s="19">
        <v>150</v>
      </c>
      <c r="K49" s="19">
        <f>0.02*10*365*7.5</f>
        <v>547.5</v>
      </c>
      <c r="L49" s="19">
        <f>0.08*150*7.5</f>
        <v>90</v>
      </c>
      <c r="M49" s="24">
        <f t="shared" si="2"/>
        <v>17722636123.5</v>
      </c>
      <c r="N49" s="36">
        <f t="shared" si="3"/>
        <v>17722636123.5</v>
      </c>
      <c r="O49" s="24">
        <v>1791544935.1129889</v>
      </c>
      <c r="P49" s="24">
        <f t="shared" si="4"/>
        <v>26873174026.694836</v>
      </c>
      <c r="Q49" s="23">
        <f t="shared" si="5"/>
        <v>0.65949173349954782</v>
      </c>
      <c r="R49" s="23">
        <f t="shared" si="6"/>
        <v>0.21983057783318261</v>
      </c>
      <c r="S49" s="23">
        <f t="shared" si="7"/>
        <v>1.9784752004986434</v>
      </c>
    </row>
    <row r="50" spans="1:19" ht="15" customHeight="1" x14ac:dyDescent="0.25">
      <c r="A50" s="19" t="s">
        <v>121</v>
      </c>
      <c r="B50" s="19" t="s">
        <v>120</v>
      </c>
      <c r="C50" s="19" t="s">
        <v>29</v>
      </c>
      <c r="D50" s="19" t="s">
        <v>19</v>
      </c>
      <c r="E50" s="24">
        <v>4015138</v>
      </c>
      <c r="F50" s="21">
        <v>90.9</v>
      </c>
      <c r="G50" s="21">
        <f>100-F50</f>
        <v>9.0999999999999943</v>
      </c>
      <c r="H50" s="24">
        <f t="shared" si="0"/>
        <v>365377.55799999979</v>
      </c>
      <c r="I50" s="36">
        <f t="shared" si="1"/>
        <v>365377.55799999979</v>
      </c>
      <c r="J50" s="19">
        <v>150</v>
      </c>
      <c r="K50" s="19">
        <f>0.02*10*365*7.5</f>
        <v>547.5</v>
      </c>
      <c r="L50" s="19">
        <f>0.08*150*7.5</f>
        <v>90</v>
      </c>
      <c r="M50" s="24">
        <f t="shared" si="2"/>
        <v>287734826.92499983</v>
      </c>
      <c r="N50" s="36">
        <f t="shared" si="3"/>
        <v>287734826.92499983</v>
      </c>
      <c r="O50" s="24">
        <v>918544973.75403845</v>
      </c>
      <c r="P50" s="24">
        <f t="shared" si="4"/>
        <v>13778174606.310577</v>
      </c>
      <c r="Q50" s="23">
        <f t="shared" si="5"/>
        <v>2.0883377889057499E-2</v>
      </c>
      <c r="R50" s="23">
        <f t="shared" si="6"/>
        <v>6.9611259630191664E-3</v>
      </c>
      <c r="S50" s="23">
        <f t="shared" si="7"/>
        <v>6.2650133667172495E-2</v>
      </c>
    </row>
    <row r="51" spans="1:19" ht="15" customHeight="1" x14ac:dyDescent="0.25">
      <c r="A51" s="19" t="s">
        <v>123</v>
      </c>
      <c r="B51" s="19" t="s">
        <v>122</v>
      </c>
      <c r="C51" s="19" t="s">
        <v>18</v>
      </c>
      <c r="D51" s="19" t="s">
        <v>35</v>
      </c>
      <c r="E51" s="24">
        <v>10847333</v>
      </c>
      <c r="F51" s="21">
        <v>17.3</v>
      </c>
      <c r="G51" s="21">
        <f>100-F51</f>
        <v>82.7</v>
      </c>
      <c r="H51" s="24">
        <f t="shared" si="0"/>
        <v>8970744.3910000008</v>
      </c>
      <c r="I51" s="36">
        <f t="shared" si="1"/>
        <v>8970744.3910000008</v>
      </c>
      <c r="J51" s="19">
        <v>150</v>
      </c>
      <c r="K51" s="19">
        <f>0.02*10*365*7.5</f>
        <v>547.5</v>
      </c>
      <c r="L51" s="19">
        <f>0.08*150*7.5</f>
        <v>90</v>
      </c>
      <c r="M51" s="24">
        <f t="shared" si="2"/>
        <v>7064461207.9125004</v>
      </c>
      <c r="N51" s="36">
        <f t="shared" si="3"/>
        <v>7064461207.9125004</v>
      </c>
      <c r="O51" s="24">
        <v>3082852547.1150317</v>
      </c>
      <c r="P51" s="24">
        <f t="shared" si="4"/>
        <v>46242788206.725479</v>
      </c>
      <c r="Q51" s="23">
        <f t="shared" si="5"/>
        <v>0.15276892855878998</v>
      </c>
      <c r="R51" s="23">
        <f t="shared" si="6"/>
        <v>5.0922976186263319E-2</v>
      </c>
      <c r="S51" s="23">
        <f t="shared" si="7"/>
        <v>0.45830678567636995</v>
      </c>
    </row>
    <row r="52" spans="1:19" ht="15" customHeight="1" x14ac:dyDescent="0.25">
      <c r="A52" s="19" t="s">
        <v>125</v>
      </c>
      <c r="B52" s="19" t="s">
        <v>124</v>
      </c>
      <c r="C52" s="19" t="s">
        <v>29</v>
      </c>
      <c r="D52" s="19" t="s">
        <v>35</v>
      </c>
      <c r="E52" s="24">
        <v>178776</v>
      </c>
      <c r="F52" s="21" t="s">
        <v>232</v>
      </c>
      <c r="G52" s="21">
        <v>26.644402312055828</v>
      </c>
      <c r="H52" s="24">
        <f t="shared" si="0"/>
        <v>47633.796677400926</v>
      </c>
      <c r="I52" s="36">
        <f t="shared" si="1"/>
        <v>47633.796677400926</v>
      </c>
      <c r="J52" s="19">
        <v>150</v>
      </c>
      <c r="K52" s="19">
        <f>0.02*10*365*7.5</f>
        <v>547.5</v>
      </c>
      <c r="L52" s="19">
        <f>0.08*150*7.5</f>
        <v>90</v>
      </c>
      <c r="M52" s="24">
        <f t="shared" si="2"/>
        <v>37511614.883453228</v>
      </c>
      <c r="N52" s="36">
        <f t="shared" si="3"/>
        <v>37511614.883453228</v>
      </c>
      <c r="O52" s="24" t="s">
        <v>232</v>
      </c>
      <c r="P52" s="24" t="e">
        <f t="shared" si="4"/>
        <v>#VALUE!</v>
      </c>
      <c r="Q52" s="23" t="e">
        <f t="shared" si="5"/>
        <v>#VALUE!</v>
      </c>
      <c r="R52" s="23" t="e">
        <f t="shared" si="6"/>
        <v>#VALUE!</v>
      </c>
      <c r="S52" s="23" t="e">
        <f t="shared" si="7"/>
        <v>#VALUE!</v>
      </c>
    </row>
    <row r="53" spans="1:19" ht="15" customHeight="1" x14ac:dyDescent="0.25">
      <c r="A53" s="19" t="s">
        <v>127</v>
      </c>
      <c r="B53" s="19" t="s">
        <v>126</v>
      </c>
      <c r="C53" s="19" t="s">
        <v>29</v>
      </c>
      <c r="D53" s="19" t="s">
        <v>19</v>
      </c>
      <c r="E53" s="24">
        <v>1306312</v>
      </c>
      <c r="F53" s="21">
        <v>92.151537489999996</v>
      </c>
      <c r="G53" s="21">
        <f>100-F53</f>
        <v>7.8484625100000045</v>
      </c>
      <c r="H53" s="24">
        <f t="shared" si="0"/>
        <v>102525.40758363125</v>
      </c>
      <c r="I53" s="36">
        <f t="shared" si="1"/>
        <v>102525.40758363125</v>
      </c>
      <c r="J53" s="19">
        <v>150</v>
      </c>
      <c r="K53" s="19">
        <f>0.02*10*365*7.5</f>
        <v>547.5</v>
      </c>
      <c r="L53" s="19">
        <f>0.08*150*7.5</f>
        <v>90</v>
      </c>
      <c r="M53" s="24">
        <f t="shared" si="2"/>
        <v>80738758.472109616</v>
      </c>
      <c r="N53" s="36">
        <f t="shared" si="3"/>
        <v>80738758.472109616</v>
      </c>
      <c r="O53" s="24">
        <v>2097439.0563930012</v>
      </c>
      <c r="P53" s="24">
        <f t="shared" si="4"/>
        <v>31461585.845895018</v>
      </c>
      <c r="Q53" s="23">
        <f t="shared" si="5"/>
        <v>2.5662647416307554</v>
      </c>
      <c r="R53" s="23">
        <f t="shared" si="6"/>
        <v>0.85542158054358519</v>
      </c>
      <c r="S53" s="23">
        <f t="shared" si="7"/>
        <v>7.6987942248922669</v>
      </c>
    </row>
    <row r="54" spans="1:19" x14ac:dyDescent="0.25">
      <c r="A54" s="19" t="s">
        <v>129</v>
      </c>
      <c r="B54" s="19" t="s">
        <v>128</v>
      </c>
      <c r="C54" s="19" t="s">
        <v>45</v>
      </c>
      <c r="D54" s="19" t="s">
        <v>19</v>
      </c>
      <c r="E54" s="24">
        <v>11053125</v>
      </c>
      <c r="F54" s="21">
        <v>100</v>
      </c>
      <c r="G54" s="21">
        <f>100-F54</f>
        <v>0</v>
      </c>
      <c r="H54" s="24">
        <f t="shared" si="0"/>
        <v>0</v>
      </c>
      <c r="I54" s="36">
        <f t="shared" si="1"/>
        <v>0</v>
      </c>
      <c r="J54" s="19">
        <v>150</v>
      </c>
      <c r="K54" s="19">
        <f>0.02*10*365*7.5</f>
        <v>547.5</v>
      </c>
      <c r="L54" s="19">
        <f>0.08*150*7.5</f>
        <v>90</v>
      </c>
      <c r="M54" s="24">
        <f t="shared" si="2"/>
        <v>0</v>
      </c>
      <c r="N54" s="36">
        <f t="shared" si="3"/>
        <v>0</v>
      </c>
      <c r="O54" s="24">
        <v>1366868039.2637777</v>
      </c>
      <c r="P54" s="24">
        <f t="shared" si="4"/>
        <v>20503020588.956665</v>
      </c>
      <c r="Q54" s="23">
        <f t="shared" si="5"/>
        <v>0</v>
      </c>
      <c r="R54" s="23">
        <f t="shared" si="6"/>
        <v>0</v>
      </c>
      <c r="S54" s="23">
        <f t="shared" si="7"/>
        <v>0</v>
      </c>
    </row>
    <row r="55" spans="1:19" ht="15" customHeight="1" x14ac:dyDescent="0.25">
      <c r="A55" s="19" t="s">
        <v>131</v>
      </c>
      <c r="B55" s="19" t="s">
        <v>130</v>
      </c>
      <c r="C55" s="19" t="s">
        <v>45</v>
      </c>
      <c r="D55" s="19" t="s">
        <v>19</v>
      </c>
      <c r="E55" s="24">
        <v>6009458</v>
      </c>
      <c r="F55" s="21">
        <v>93</v>
      </c>
      <c r="G55" s="21">
        <f>100-F55</f>
        <v>7</v>
      </c>
      <c r="H55" s="24">
        <f t="shared" si="0"/>
        <v>420662.06000000006</v>
      </c>
      <c r="I55" s="36">
        <f t="shared" si="1"/>
        <v>420662.06000000006</v>
      </c>
      <c r="J55" s="19">
        <v>150</v>
      </c>
      <c r="K55" s="19">
        <f>0.02*10*365*7.5</f>
        <v>547.5</v>
      </c>
      <c r="L55" s="19">
        <f>0.08*150*7.5</f>
        <v>90</v>
      </c>
      <c r="M55" s="24">
        <f t="shared" si="2"/>
        <v>331271372.25000006</v>
      </c>
      <c r="N55" s="36">
        <f t="shared" si="3"/>
        <v>331271372.25000006</v>
      </c>
      <c r="O55" s="24">
        <v>6826937316.8512735</v>
      </c>
      <c r="P55" s="24">
        <f t="shared" si="4"/>
        <v>102404059752.7691</v>
      </c>
      <c r="Q55" s="23">
        <f t="shared" si="5"/>
        <v>3.2349437419744694E-3</v>
      </c>
      <c r="R55" s="23">
        <f t="shared" si="6"/>
        <v>1.0783145806581565E-3</v>
      </c>
      <c r="S55" s="23">
        <f t="shared" si="7"/>
        <v>9.704831225923409E-3</v>
      </c>
    </row>
    <row r="56" spans="1:19" ht="15" customHeight="1" x14ac:dyDescent="0.25">
      <c r="A56" s="19" t="s">
        <v>133</v>
      </c>
      <c r="B56" s="19" t="s">
        <v>132</v>
      </c>
      <c r="C56" s="19" t="s">
        <v>40</v>
      </c>
      <c r="D56" s="19" t="s">
        <v>22</v>
      </c>
      <c r="E56" s="24">
        <v>1075146</v>
      </c>
      <c r="F56" s="21">
        <v>28.9</v>
      </c>
      <c r="G56" s="21">
        <f>100-F56</f>
        <v>71.099999999999994</v>
      </c>
      <c r="H56" s="24">
        <f t="shared" si="0"/>
        <v>764428.80599999998</v>
      </c>
      <c r="I56" s="36">
        <f t="shared" si="1"/>
        <v>764428.80599999998</v>
      </c>
      <c r="J56" s="19">
        <v>150</v>
      </c>
      <c r="K56" s="19">
        <f>0.02*10*365*7.5</f>
        <v>547.5</v>
      </c>
      <c r="L56" s="19">
        <f>0.08*150*7.5</f>
        <v>90</v>
      </c>
      <c r="M56" s="24">
        <f t="shared" si="2"/>
        <v>601987684.72500002</v>
      </c>
      <c r="N56" s="36">
        <f t="shared" si="3"/>
        <v>601987684.72500002</v>
      </c>
      <c r="O56" s="24" t="s">
        <v>232</v>
      </c>
      <c r="P56" s="24" t="e">
        <f t="shared" si="4"/>
        <v>#VALUE!</v>
      </c>
      <c r="Q56" s="23" t="e">
        <f t="shared" si="5"/>
        <v>#VALUE!</v>
      </c>
      <c r="R56" s="23" t="e">
        <f t="shared" si="6"/>
        <v>#VALUE!</v>
      </c>
      <c r="S56" s="23" t="e">
        <f t="shared" si="7"/>
        <v>#VALUE!</v>
      </c>
    </row>
    <row r="57" spans="1:19" x14ac:dyDescent="0.25">
      <c r="A57" s="19" t="s">
        <v>135</v>
      </c>
      <c r="B57" s="19" t="s">
        <v>134</v>
      </c>
      <c r="C57" s="19" t="s">
        <v>18</v>
      </c>
      <c r="D57" s="19" t="s">
        <v>35</v>
      </c>
      <c r="E57" s="24">
        <v>76952</v>
      </c>
      <c r="F57" s="21" t="s">
        <v>232</v>
      </c>
      <c r="G57" s="21">
        <v>26.644402312055828</v>
      </c>
      <c r="H57" s="24">
        <f t="shared" si="0"/>
        <v>20503.4004671732</v>
      </c>
      <c r="I57" s="36">
        <f t="shared" si="1"/>
        <v>20503.4004671732</v>
      </c>
      <c r="J57" s="19">
        <v>150</v>
      </c>
      <c r="K57" s="19">
        <f>0.02*10*365*7.5</f>
        <v>547.5</v>
      </c>
      <c r="L57" s="19">
        <f>0.08*150*7.5</f>
        <v>90</v>
      </c>
      <c r="M57" s="24">
        <f t="shared" si="2"/>
        <v>16146427.867898894</v>
      </c>
      <c r="N57" s="36">
        <f t="shared" si="3"/>
        <v>16146427.867898894</v>
      </c>
      <c r="O57" s="24">
        <v>491062.11491866165</v>
      </c>
      <c r="P57" s="24">
        <f t="shared" si="4"/>
        <v>7365931.7237799251</v>
      </c>
      <c r="Q57" s="23">
        <f t="shared" si="5"/>
        <v>2.1920414787137266</v>
      </c>
      <c r="R57" s="23">
        <f t="shared" si="6"/>
        <v>0.73068049290457537</v>
      </c>
      <c r="S57" s="23">
        <f t="shared" si="7"/>
        <v>6.5761244361411793</v>
      </c>
    </row>
    <row r="58" spans="1:19" ht="15" customHeight="1" x14ac:dyDescent="0.25">
      <c r="A58" s="19" t="s">
        <v>137</v>
      </c>
      <c r="B58" s="19" t="s">
        <v>136</v>
      </c>
      <c r="C58" s="19" t="s">
        <v>18</v>
      </c>
      <c r="D58" s="19" t="s">
        <v>35</v>
      </c>
      <c r="E58" s="24">
        <v>12218615</v>
      </c>
      <c r="F58" s="21">
        <v>78.936845077998925</v>
      </c>
      <c r="G58" s="21">
        <f>100-F58</f>
        <v>21.063154922001075</v>
      </c>
      <c r="H58" s="24">
        <f t="shared" si="0"/>
        <v>2573625.8067728616</v>
      </c>
      <c r="I58" s="36">
        <f t="shared" si="1"/>
        <v>2573625.8067728616</v>
      </c>
      <c r="J58" s="19">
        <v>150</v>
      </c>
      <c r="K58" s="19">
        <f>0.02*10*365*7.5</f>
        <v>547.5</v>
      </c>
      <c r="L58" s="19">
        <f>0.08*150*7.5</f>
        <v>90</v>
      </c>
      <c r="M58" s="24">
        <f t="shared" si="2"/>
        <v>2026730322.8336284</v>
      </c>
      <c r="N58" s="36">
        <f t="shared" si="3"/>
        <v>2026730322.8336284</v>
      </c>
      <c r="O58" s="24">
        <v>129924258.050329</v>
      </c>
      <c r="P58" s="24">
        <f t="shared" si="4"/>
        <v>1948863870.754935</v>
      </c>
      <c r="Q58" s="23">
        <f t="shared" si="5"/>
        <v>1.0399547927626829</v>
      </c>
      <c r="R58" s="23">
        <f t="shared" si="6"/>
        <v>0.34665159758756098</v>
      </c>
      <c r="S58" s="23">
        <f t="shared" si="7"/>
        <v>3.1198643782880486</v>
      </c>
    </row>
    <row r="59" spans="1:19" ht="15" customHeight="1" x14ac:dyDescent="0.25">
      <c r="A59" s="19" t="s">
        <v>139</v>
      </c>
      <c r="B59" s="19" t="s">
        <v>138</v>
      </c>
      <c r="C59" s="19" t="s">
        <v>18</v>
      </c>
      <c r="D59" s="19" t="s">
        <v>35</v>
      </c>
      <c r="E59" s="24">
        <v>19648546</v>
      </c>
      <c r="F59" s="21">
        <v>75.45</v>
      </c>
      <c r="G59" s="21">
        <f>100-F59</f>
        <v>24.549999999999997</v>
      </c>
      <c r="H59" s="24">
        <f t="shared" si="0"/>
        <v>4823718.0429999996</v>
      </c>
      <c r="I59" s="36">
        <f t="shared" si="1"/>
        <v>4823718.0429999996</v>
      </c>
      <c r="J59" s="19">
        <v>150</v>
      </c>
      <c r="K59" s="19">
        <f>0.02*10*365*7.5</f>
        <v>547.5</v>
      </c>
      <c r="L59" s="19">
        <f>0.08*150*7.5</f>
        <v>90</v>
      </c>
      <c r="M59" s="24">
        <f t="shared" si="2"/>
        <v>3798677958.8624997</v>
      </c>
      <c r="N59" s="36">
        <f t="shared" si="3"/>
        <v>3798677958.8624997</v>
      </c>
      <c r="O59" s="24">
        <v>12579420182.430964</v>
      </c>
      <c r="P59" s="24">
        <f t="shared" si="4"/>
        <v>188691302736.46445</v>
      </c>
      <c r="Q59" s="23">
        <f t="shared" si="5"/>
        <v>2.0131706675256357E-2</v>
      </c>
      <c r="R59" s="23">
        <f t="shared" si="6"/>
        <v>6.7105688917521202E-3</v>
      </c>
      <c r="S59" s="23">
        <f t="shared" si="7"/>
        <v>6.0395120025769078E-2</v>
      </c>
    </row>
    <row r="60" spans="1:19" ht="15" customHeight="1" x14ac:dyDescent="0.25">
      <c r="A60" s="19" t="s">
        <v>141</v>
      </c>
      <c r="B60" s="19" t="s">
        <v>140</v>
      </c>
      <c r="C60" s="19" t="s">
        <v>40</v>
      </c>
      <c r="D60" s="19" t="s">
        <v>22</v>
      </c>
      <c r="E60" s="24">
        <v>102552797</v>
      </c>
      <c r="F60" s="21">
        <v>79.11</v>
      </c>
      <c r="G60" s="21">
        <f>100-F60</f>
        <v>20.89</v>
      </c>
      <c r="H60" s="24">
        <f t="shared" si="0"/>
        <v>21423279.293299999</v>
      </c>
      <c r="I60" s="36">
        <f t="shared" si="1"/>
        <v>21423279.293299999</v>
      </c>
      <c r="J60" s="19">
        <v>150</v>
      </c>
      <c r="K60" s="19">
        <f>0.02*10*365*7.5</f>
        <v>547.5</v>
      </c>
      <c r="L60" s="19">
        <f>0.08*150*7.5</f>
        <v>90</v>
      </c>
      <c r="M60" s="24">
        <f t="shared" si="2"/>
        <v>16870832443.473749</v>
      </c>
      <c r="N60" s="36">
        <f t="shared" si="3"/>
        <v>16870832443.473749</v>
      </c>
      <c r="O60" s="24">
        <v>26385352958.727764</v>
      </c>
      <c r="P60" s="24">
        <f t="shared" si="4"/>
        <v>395780294380.91644</v>
      </c>
      <c r="Q60" s="23">
        <f t="shared" si="5"/>
        <v>4.2626762077337066E-2</v>
      </c>
      <c r="R60" s="23">
        <f t="shared" si="6"/>
        <v>1.4208920692445689E-2</v>
      </c>
      <c r="S60" s="23">
        <f t="shared" si="7"/>
        <v>0.1278802862320112</v>
      </c>
    </row>
    <row r="61" spans="1:19" ht="15" customHeight="1" x14ac:dyDescent="0.25">
      <c r="A61" s="19" t="s">
        <v>143</v>
      </c>
      <c r="B61" s="19" t="s">
        <v>142</v>
      </c>
      <c r="C61" s="19" t="s">
        <v>40</v>
      </c>
      <c r="D61" s="19" t="s">
        <v>35</v>
      </c>
      <c r="E61" s="24">
        <v>6874758</v>
      </c>
      <c r="F61" s="21">
        <v>86.676551500000002</v>
      </c>
      <c r="G61" s="21">
        <f>100-F61</f>
        <v>13.323448499999998</v>
      </c>
      <c r="H61" s="24">
        <f t="shared" si="0"/>
        <v>915954.84162962995</v>
      </c>
      <c r="I61" s="36">
        <f t="shared" si="1"/>
        <v>915954.84162962995</v>
      </c>
      <c r="J61" s="19">
        <v>150</v>
      </c>
      <c r="K61" s="19">
        <f>0.02*10*365*7.5</f>
        <v>547.5</v>
      </c>
      <c r="L61" s="19">
        <f>0.08*150*7.5</f>
        <v>90</v>
      </c>
      <c r="M61" s="24">
        <f t="shared" si="2"/>
        <v>721314437.78333354</v>
      </c>
      <c r="N61" s="36">
        <f t="shared" si="3"/>
        <v>721314437.78333354</v>
      </c>
      <c r="O61" s="24">
        <v>390192552.90387428</v>
      </c>
      <c r="P61" s="24">
        <f t="shared" si="4"/>
        <v>5852888293.5581141</v>
      </c>
      <c r="Q61" s="23">
        <f t="shared" si="5"/>
        <v>0.12324076620037948</v>
      </c>
      <c r="R61" s="23">
        <f t="shared" si="6"/>
        <v>4.1080255400126491E-2</v>
      </c>
      <c r="S61" s="23">
        <f t="shared" si="7"/>
        <v>0.36972229860113837</v>
      </c>
    </row>
    <row r="62" spans="1:19" ht="15" customHeight="1" x14ac:dyDescent="0.25">
      <c r="A62" s="19" t="s">
        <v>145</v>
      </c>
      <c r="B62" s="19" t="s">
        <v>144</v>
      </c>
      <c r="C62" s="19" t="s">
        <v>29</v>
      </c>
      <c r="D62" s="19" t="s">
        <v>32</v>
      </c>
      <c r="E62" s="24">
        <v>1138788</v>
      </c>
      <c r="F62" s="21" t="s">
        <v>232</v>
      </c>
      <c r="G62" s="21">
        <v>59.651025134275415</v>
      </c>
      <c r="H62" s="24">
        <f t="shared" si="0"/>
        <v>679298.71610611235</v>
      </c>
      <c r="I62" s="36">
        <f t="shared" si="1"/>
        <v>679298.71610611235</v>
      </c>
      <c r="J62" s="19">
        <v>150</v>
      </c>
      <c r="K62" s="19">
        <f>0.02*10*365*7.5</f>
        <v>547.5</v>
      </c>
      <c r="L62" s="19">
        <f>0.08*150*7.5</f>
        <v>90</v>
      </c>
      <c r="M62" s="24">
        <f t="shared" si="2"/>
        <v>534947738.93356347</v>
      </c>
      <c r="N62" s="36">
        <f t="shared" si="3"/>
        <v>534947738.93356347</v>
      </c>
      <c r="O62" s="24">
        <v>6226958917.0209513</v>
      </c>
      <c r="P62" s="24">
        <f t="shared" si="4"/>
        <v>93404383755.31427</v>
      </c>
      <c r="Q62" s="23">
        <f t="shared" si="5"/>
        <v>5.7272230427099996E-3</v>
      </c>
      <c r="R62" s="23">
        <f t="shared" si="6"/>
        <v>1.9090743475699999E-3</v>
      </c>
      <c r="S62" s="23">
        <f t="shared" si="7"/>
        <v>1.718166912813E-2</v>
      </c>
    </row>
    <row r="63" spans="1:19" ht="15" customHeight="1" x14ac:dyDescent="0.25">
      <c r="A63" s="19" t="s">
        <v>147</v>
      </c>
      <c r="B63" s="19" t="s">
        <v>146</v>
      </c>
      <c r="C63" s="19" t="s">
        <v>14</v>
      </c>
      <c r="D63" s="19" t="s">
        <v>32</v>
      </c>
      <c r="E63" s="24">
        <v>9782455</v>
      </c>
      <c r="F63" s="21">
        <v>4.4000000000000004</v>
      </c>
      <c r="G63" s="21">
        <f>100-F63</f>
        <v>95.6</v>
      </c>
      <c r="H63" s="24">
        <f t="shared" si="0"/>
        <v>9352026.9800000004</v>
      </c>
      <c r="I63" s="36">
        <f t="shared" si="1"/>
        <v>9352026.9800000004</v>
      </c>
      <c r="J63" s="19">
        <v>150</v>
      </c>
      <c r="K63" s="19">
        <f>0.02*10*365*7.5</f>
        <v>547.5</v>
      </c>
      <c r="L63" s="19">
        <f>0.08*150*7.5</f>
        <v>90</v>
      </c>
      <c r="M63" s="24">
        <f t="shared" si="2"/>
        <v>7364721246.75</v>
      </c>
      <c r="N63" s="36">
        <f t="shared" si="3"/>
        <v>7364721246.75</v>
      </c>
      <c r="O63" s="24">
        <v>76822965.242555067</v>
      </c>
      <c r="P63" s="24">
        <f t="shared" si="4"/>
        <v>1152344478.6383259</v>
      </c>
      <c r="Q63" s="23">
        <f t="shared" si="5"/>
        <v>6.3910760916323932</v>
      </c>
      <c r="R63" s="23">
        <f t="shared" si="6"/>
        <v>2.1303586972107977</v>
      </c>
      <c r="S63" s="23">
        <f t="shared" si="7"/>
        <v>19.173228274897181</v>
      </c>
    </row>
    <row r="64" spans="1:19" ht="15" customHeight="1" x14ac:dyDescent="0.25">
      <c r="A64" s="19" t="s">
        <v>149</v>
      </c>
      <c r="B64" s="19" t="s">
        <v>148</v>
      </c>
      <c r="C64" s="19" t="s">
        <v>45</v>
      </c>
      <c r="D64" s="19" t="s">
        <v>19</v>
      </c>
      <c r="E64" s="24">
        <v>1212150</v>
      </c>
      <c r="F64" s="21">
        <v>100</v>
      </c>
      <c r="G64" s="21">
        <f>100-F64</f>
        <v>0</v>
      </c>
      <c r="H64" s="24">
        <f t="shared" si="0"/>
        <v>0</v>
      </c>
      <c r="I64" s="36">
        <f t="shared" si="1"/>
        <v>0</v>
      </c>
      <c r="J64" s="19">
        <v>150</v>
      </c>
      <c r="K64" s="19">
        <f>0.02*10*365*7.5</f>
        <v>547.5</v>
      </c>
      <c r="L64" s="19">
        <f>0.08*150*7.5</f>
        <v>90</v>
      </c>
      <c r="M64" s="24">
        <f t="shared" si="2"/>
        <v>0</v>
      </c>
      <c r="N64" s="36">
        <f t="shared" si="3"/>
        <v>0</v>
      </c>
      <c r="O64" s="24">
        <v>524357312.05145437</v>
      </c>
      <c r="P64" s="24">
        <f t="shared" si="4"/>
        <v>7865359680.7718153</v>
      </c>
      <c r="Q64" s="23">
        <f t="shared" si="5"/>
        <v>0</v>
      </c>
      <c r="R64" s="23">
        <f t="shared" si="6"/>
        <v>0</v>
      </c>
      <c r="S64" s="23">
        <f t="shared" si="7"/>
        <v>0</v>
      </c>
    </row>
    <row r="65" spans="1:19" ht="15" customHeight="1" x14ac:dyDescent="0.25">
      <c r="A65" s="19" t="s">
        <v>151</v>
      </c>
      <c r="B65" s="19" t="s">
        <v>150</v>
      </c>
      <c r="C65" s="19" t="s">
        <v>14</v>
      </c>
      <c r="D65" s="19" t="s">
        <v>32</v>
      </c>
      <c r="E65" s="24">
        <v>137669707</v>
      </c>
      <c r="F65" s="21">
        <v>7.6</v>
      </c>
      <c r="G65" s="21">
        <f>100-F65</f>
        <v>92.4</v>
      </c>
      <c r="H65" s="24">
        <f t="shared" si="0"/>
        <v>127206809.26800001</v>
      </c>
      <c r="I65" s="36">
        <f t="shared" si="1"/>
        <v>127206809.26800001</v>
      </c>
      <c r="J65" s="19">
        <v>150</v>
      </c>
      <c r="K65" s="19">
        <f>0.02*10*365*7.5</f>
        <v>547.5</v>
      </c>
      <c r="L65" s="19">
        <f>0.08*150*7.5</f>
        <v>90</v>
      </c>
      <c r="M65" s="24">
        <f t="shared" si="2"/>
        <v>100175362298.55</v>
      </c>
      <c r="N65" s="36">
        <f t="shared" si="3"/>
        <v>100175362298.55</v>
      </c>
      <c r="O65" s="24">
        <v>5463318403.1045046</v>
      </c>
      <c r="P65" s="24">
        <f t="shared" si="4"/>
        <v>81949776046.567566</v>
      </c>
      <c r="Q65" s="23">
        <f t="shared" si="5"/>
        <v>1.2223994638084896</v>
      </c>
      <c r="R65" s="23">
        <f t="shared" si="6"/>
        <v>0.40746648793616325</v>
      </c>
      <c r="S65" s="23">
        <f t="shared" si="7"/>
        <v>3.6671983914254693</v>
      </c>
    </row>
    <row r="66" spans="1:19" ht="15" customHeight="1" x14ac:dyDescent="0.25">
      <c r="A66" s="19" t="s">
        <v>153</v>
      </c>
      <c r="B66" s="19" t="s">
        <v>152</v>
      </c>
      <c r="C66" s="19" t="s">
        <v>29</v>
      </c>
      <c r="D66" s="19" t="s">
        <v>19</v>
      </c>
      <c r="E66" s="24">
        <v>51875</v>
      </c>
      <c r="F66" s="21" t="s">
        <v>232</v>
      </c>
      <c r="G66" s="21">
        <v>14.792992315545245</v>
      </c>
      <c r="H66" s="24">
        <f t="shared" si="0"/>
        <v>7673.8647636890955</v>
      </c>
      <c r="I66" s="36">
        <f t="shared" si="1"/>
        <v>7673.8647636890955</v>
      </c>
      <c r="J66" s="19">
        <v>150</v>
      </c>
      <c r="K66" s="19">
        <f>0.02*10*365*7.5</f>
        <v>547.5</v>
      </c>
      <c r="L66" s="19">
        <f>0.08*150*7.5</f>
        <v>90</v>
      </c>
      <c r="M66" s="24">
        <f t="shared" si="2"/>
        <v>6043168.5014051627</v>
      </c>
      <c r="N66" s="36">
        <f t="shared" si="3"/>
        <v>6043168.5014051627</v>
      </c>
      <c r="O66" s="24" t="s">
        <v>232</v>
      </c>
      <c r="P66" s="24" t="e">
        <f t="shared" si="4"/>
        <v>#VALUE!</v>
      </c>
      <c r="Q66" s="23" t="e">
        <f t="shared" si="5"/>
        <v>#VALUE!</v>
      </c>
      <c r="R66" s="23" t="e">
        <f t="shared" si="6"/>
        <v>#VALUE!</v>
      </c>
      <c r="S66" s="23" t="e">
        <f t="shared" si="7"/>
        <v>#VALUE!</v>
      </c>
    </row>
    <row r="67" spans="1:19" ht="15" customHeight="1" x14ac:dyDescent="0.25">
      <c r="A67" s="19" t="s">
        <v>155</v>
      </c>
      <c r="B67" s="19" t="s">
        <v>154</v>
      </c>
      <c r="C67" s="19" t="s">
        <v>18</v>
      </c>
      <c r="D67" s="19" t="s">
        <v>26</v>
      </c>
      <c r="E67" s="24">
        <v>939469</v>
      </c>
      <c r="F67" s="21" t="s">
        <v>232</v>
      </c>
      <c r="G67" s="21">
        <v>31.129346349193881</v>
      </c>
      <c r="H67" s="24">
        <f t="shared" si="0"/>
        <v>292450.55885330826</v>
      </c>
      <c r="I67" s="36">
        <f t="shared" si="1"/>
        <v>292450.55885330826</v>
      </c>
      <c r="J67" s="19">
        <v>150</v>
      </c>
      <c r="K67" s="19">
        <f>0.02*10*365*7.5</f>
        <v>547.5</v>
      </c>
      <c r="L67" s="19">
        <f>0.08*150*7.5</f>
        <v>90</v>
      </c>
      <c r="M67" s="24">
        <f t="shared" si="2"/>
        <v>230304815.09698024</v>
      </c>
      <c r="N67" s="36">
        <f t="shared" si="3"/>
        <v>230304815.09698024</v>
      </c>
      <c r="O67" s="24">
        <v>87317583.851148248</v>
      </c>
      <c r="P67" s="24">
        <f t="shared" si="4"/>
        <v>1309763757.7672238</v>
      </c>
      <c r="Q67" s="23">
        <f t="shared" si="5"/>
        <v>0.17583691236775761</v>
      </c>
      <c r="R67" s="23">
        <f t="shared" si="6"/>
        <v>5.8612304122585869E-2</v>
      </c>
      <c r="S67" s="23">
        <f t="shared" si="7"/>
        <v>0.5275107371032729</v>
      </c>
    </row>
    <row r="68" spans="1:19" ht="15" customHeight="1" x14ac:dyDescent="0.25">
      <c r="A68" s="19" t="s">
        <v>157</v>
      </c>
      <c r="B68" s="19" t="s">
        <v>156</v>
      </c>
      <c r="C68" s="19" t="s">
        <v>45</v>
      </c>
      <c r="D68" s="19" t="s">
        <v>19</v>
      </c>
      <c r="E68" s="24">
        <v>5649744</v>
      </c>
      <c r="F68" s="21">
        <v>100</v>
      </c>
      <c r="G68" s="21">
        <f>100-F68</f>
        <v>0</v>
      </c>
      <c r="H68" s="24">
        <f t="shared" ref="H68:H131" si="8">(G68/100)*E68</f>
        <v>0</v>
      </c>
      <c r="I68" s="36">
        <f t="shared" ref="I68:I131" si="9">IFERROR(H68,0)</f>
        <v>0</v>
      </c>
      <c r="J68" s="19">
        <v>150</v>
      </c>
      <c r="K68" s="19">
        <f>0.02*10*365*7.5</f>
        <v>547.5</v>
      </c>
      <c r="L68" s="19">
        <f>0.08*150*7.5</f>
        <v>90</v>
      </c>
      <c r="M68" s="24">
        <f t="shared" ref="M68:M131" si="10">(J68+K68+L68)*H68</f>
        <v>0</v>
      </c>
      <c r="N68" s="36">
        <f t="shared" ref="N68:N131" si="11">IFERROR(M68,0)</f>
        <v>0</v>
      </c>
      <c r="O68" s="24">
        <v>3328745232.5822215</v>
      </c>
      <c r="P68" s="24">
        <f t="shared" ref="P68:P131" si="12">O68*15</f>
        <v>49931178488.733322</v>
      </c>
      <c r="Q68" s="23">
        <f t="shared" ref="Q68:Q131" si="13">M68/P68</f>
        <v>0</v>
      </c>
      <c r="R68" s="23">
        <f t="shared" ref="R68:R131" si="14">(M68/2)/(P68*1.5)</f>
        <v>0</v>
      </c>
      <c r="S68" s="23">
        <f t="shared" ref="S68:S131" si="15">(M68*1.5)/(P68/2)</f>
        <v>0</v>
      </c>
    </row>
    <row r="69" spans="1:19" ht="15" customHeight="1" x14ac:dyDescent="0.25">
      <c r="A69" s="19" t="s">
        <v>159</v>
      </c>
      <c r="B69" s="19" t="s">
        <v>158</v>
      </c>
      <c r="C69" s="19" t="s">
        <v>45</v>
      </c>
      <c r="D69" s="19" t="s">
        <v>19</v>
      </c>
      <c r="E69" s="24">
        <v>69286370</v>
      </c>
      <c r="F69" s="21">
        <v>83.6</v>
      </c>
      <c r="G69" s="21">
        <f>100-F69</f>
        <v>16.400000000000006</v>
      </c>
      <c r="H69" s="24">
        <f t="shared" si="8"/>
        <v>11362964.680000003</v>
      </c>
      <c r="I69" s="36">
        <f t="shared" si="9"/>
        <v>11362964.680000003</v>
      </c>
      <c r="J69" s="19">
        <v>150</v>
      </c>
      <c r="K69" s="19">
        <f>0.02*10*365*7.5</f>
        <v>547.5</v>
      </c>
      <c r="L69" s="19">
        <f>0.08*150*7.5</f>
        <v>90</v>
      </c>
      <c r="M69" s="24">
        <f t="shared" si="10"/>
        <v>8948334685.5000019</v>
      </c>
      <c r="N69" s="36">
        <f t="shared" si="11"/>
        <v>8948334685.5000019</v>
      </c>
      <c r="O69" s="24">
        <v>4406730484.3344297</v>
      </c>
      <c r="P69" s="24">
        <f t="shared" si="12"/>
        <v>66100957265.016449</v>
      </c>
      <c r="Q69" s="23">
        <f t="shared" si="13"/>
        <v>0.13537375335766669</v>
      </c>
      <c r="R69" s="23">
        <f t="shared" si="14"/>
        <v>4.5124584452555558E-2</v>
      </c>
      <c r="S69" s="23">
        <f t="shared" si="15"/>
        <v>0.40612126007300003</v>
      </c>
    </row>
    <row r="70" spans="1:19" ht="15" customHeight="1" x14ac:dyDescent="0.25">
      <c r="A70" s="19" t="s">
        <v>161</v>
      </c>
      <c r="B70" s="19" t="s">
        <v>160</v>
      </c>
      <c r="C70" s="19" t="s">
        <v>29</v>
      </c>
      <c r="D70" s="19" t="s">
        <v>26</v>
      </c>
      <c r="E70" s="24">
        <v>318041</v>
      </c>
      <c r="F70" s="21" t="s">
        <v>232</v>
      </c>
      <c r="G70" s="21">
        <v>31.129346349193881</v>
      </c>
      <c r="H70" s="24">
        <f t="shared" si="8"/>
        <v>99004.084422439715</v>
      </c>
      <c r="I70" s="36">
        <f t="shared" si="9"/>
        <v>99004.084422439715</v>
      </c>
      <c r="J70" s="19">
        <v>150</v>
      </c>
      <c r="K70" s="19">
        <f>0.02*10*365*7.5</f>
        <v>547.5</v>
      </c>
      <c r="L70" s="19">
        <f>0.08*150*7.5</f>
        <v>90</v>
      </c>
      <c r="M70" s="24">
        <f t="shared" si="10"/>
        <v>77965716.482671276</v>
      </c>
      <c r="N70" s="36">
        <f t="shared" si="11"/>
        <v>77965716.482671276</v>
      </c>
      <c r="O70" s="24" t="s">
        <v>232</v>
      </c>
      <c r="P70" s="24" t="e">
        <f t="shared" si="12"/>
        <v>#VALUE!</v>
      </c>
      <c r="Q70" s="23" t="e">
        <f t="shared" si="13"/>
        <v>#VALUE!</v>
      </c>
      <c r="R70" s="23" t="e">
        <f t="shared" si="14"/>
        <v>#VALUE!</v>
      </c>
      <c r="S70" s="23" t="e">
        <f t="shared" si="15"/>
        <v>#VALUE!</v>
      </c>
    </row>
    <row r="71" spans="1:19" ht="15" customHeight="1" x14ac:dyDescent="0.25">
      <c r="A71" s="19" t="s">
        <v>163</v>
      </c>
      <c r="B71" s="19" t="s">
        <v>162</v>
      </c>
      <c r="C71" s="19" t="s">
        <v>18</v>
      </c>
      <c r="D71" s="19" t="s">
        <v>32</v>
      </c>
      <c r="E71" s="24">
        <v>2382369</v>
      </c>
      <c r="F71" s="21">
        <v>12.8</v>
      </c>
      <c r="G71" s="21">
        <f>100-F71</f>
        <v>87.2</v>
      </c>
      <c r="H71" s="24">
        <f t="shared" si="8"/>
        <v>2077425.7679999999</v>
      </c>
      <c r="I71" s="36">
        <f t="shared" si="9"/>
        <v>2077425.7679999999</v>
      </c>
      <c r="J71" s="19">
        <v>150</v>
      </c>
      <c r="K71" s="19">
        <f>0.02*10*365*7.5</f>
        <v>547.5</v>
      </c>
      <c r="L71" s="19">
        <f>0.08*150*7.5</f>
        <v>90</v>
      </c>
      <c r="M71" s="24">
        <f t="shared" si="10"/>
        <v>1635972792.3</v>
      </c>
      <c r="N71" s="36">
        <f t="shared" si="11"/>
        <v>1635972792.3</v>
      </c>
      <c r="O71" s="24">
        <v>6654882999.5966587</v>
      </c>
      <c r="P71" s="24">
        <f t="shared" si="12"/>
        <v>99823244993.949875</v>
      </c>
      <c r="Q71" s="23">
        <f t="shared" si="13"/>
        <v>1.6388695763187758E-2</v>
      </c>
      <c r="R71" s="23">
        <f t="shared" si="14"/>
        <v>5.4628985877292532E-3</v>
      </c>
      <c r="S71" s="23">
        <f t="shared" si="15"/>
        <v>4.9166087289563273E-2</v>
      </c>
    </row>
    <row r="72" spans="1:19" ht="15" customHeight="1" x14ac:dyDescent="0.25">
      <c r="A72" s="19" t="s">
        <v>165</v>
      </c>
      <c r="B72" s="19" t="s">
        <v>164</v>
      </c>
      <c r="C72" s="19" t="s">
        <v>14</v>
      </c>
      <c r="D72" s="19" t="s">
        <v>32</v>
      </c>
      <c r="E72" s="24">
        <v>3056357</v>
      </c>
      <c r="F72" s="21">
        <v>14.27</v>
      </c>
      <c r="G72" s="21">
        <f>100-F72</f>
        <v>85.73</v>
      </c>
      <c r="H72" s="24">
        <f t="shared" si="8"/>
        <v>2620214.8561</v>
      </c>
      <c r="I72" s="36">
        <f t="shared" si="9"/>
        <v>2620214.8561</v>
      </c>
      <c r="J72" s="19">
        <v>150</v>
      </c>
      <c r="K72" s="19">
        <f>0.02*10*365*7.5</f>
        <v>547.5</v>
      </c>
      <c r="L72" s="19">
        <f>0.08*150*7.5</f>
        <v>90</v>
      </c>
      <c r="M72" s="24">
        <f t="shared" si="10"/>
        <v>2063419199.17875</v>
      </c>
      <c r="N72" s="36">
        <f t="shared" si="11"/>
        <v>2063419199.17875</v>
      </c>
      <c r="O72" s="24">
        <v>45972784.152787477</v>
      </c>
      <c r="P72" s="24">
        <f t="shared" si="12"/>
        <v>689591762.29181218</v>
      </c>
      <c r="Q72" s="23">
        <f t="shared" si="13"/>
        <v>2.992232958701702</v>
      </c>
      <c r="R72" s="23">
        <f t="shared" si="14"/>
        <v>0.99741098623390068</v>
      </c>
      <c r="S72" s="23">
        <f t="shared" si="15"/>
        <v>8.9766988761051056</v>
      </c>
    </row>
    <row r="73" spans="1:19" ht="15" customHeight="1" x14ac:dyDescent="0.25">
      <c r="A73" s="19" t="s">
        <v>167</v>
      </c>
      <c r="B73" s="19" t="s">
        <v>166</v>
      </c>
      <c r="C73" s="19" t="s">
        <v>40</v>
      </c>
      <c r="D73" s="19" t="s">
        <v>19</v>
      </c>
      <c r="E73" s="24">
        <v>3953077</v>
      </c>
      <c r="F73" s="21">
        <v>41.213819999999998</v>
      </c>
      <c r="G73" s="21">
        <f>100-F73</f>
        <v>58.786180000000002</v>
      </c>
      <c r="H73" s="24">
        <f t="shared" si="8"/>
        <v>2323862.9607585999</v>
      </c>
      <c r="I73" s="36">
        <f t="shared" si="9"/>
        <v>2323862.9607585999</v>
      </c>
      <c r="J73" s="19">
        <v>150</v>
      </c>
      <c r="K73" s="19">
        <f>0.02*10*365*7.5</f>
        <v>547.5</v>
      </c>
      <c r="L73" s="19">
        <f>0.08*150*7.5</f>
        <v>90</v>
      </c>
      <c r="M73" s="24">
        <f t="shared" si="10"/>
        <v>1830042081.5973973</v>
      </c>
      <c r="N73" s="36">
        <f t="shared" si="11"/>
        <v>1830042081.5973973</v>
      </c>
      <c r="O73" s="24">
        <v>123856542.27513833</v>
      </c>
      <c r="P73" s="24">
        <f t="shared" si="12"/>
        <v>1857848134.127075</v>
      </c>
      <c r="Q73" s="23">
        <f t="shared" si="13"/>
        <v>0.98503319403835854</v>
      </c>
      <c r="R73" s="23">
        <f t="shared" si="14"/>
        <v>0.3283443980127862</v>
      </c>
      <c r="S73" s="23">
        <f t="shared" si="15"/>
        <v>2.9550995821150758</v>
      </c>
    </row>
    <row r="74" spans="1:19" ht="15" customHeight="1" x14ac:dyDescent="0.25">
      <c r="A74" s="19" t="s">
        <v>169</v>
      </c>
      <c r="B74" s="19" t="s">
        <v>168</v>
      </c>
      <c r="C74" s="19" t="s">
        <v>45</v>
      </c>
      <c r="D74" s="19" t="s">
        <v>19</v>
      </c>
      <c r="E74" s="24">
        <v>79551501</v>
      </c>
      <c r="F74" s="21">
        <v>94.311159017444027</v>
      </c>
      <c r="G74" s="21">
        <f>100-F74</f>
        <v>5.6888409825559734</v>
      </c>
      <c r="H74" s="24">
        <f t="shared" si="8"/>
        <v>4525558.391126425</v>
      </c>
      <c r="I74" s="36">
        <f t="shared" si="9"/>
        <v>4525558.391126425</v>
      </c>
      <c r="J74" s="19">
        <v>150</v>
      </c>
      <c r="K74" s="19">
        <f>0.02*10*365*7.5</f>
        <v>547.5</v>
      </c>
      <c r="L74" s="19">
        <f>0.08*150*7.5</f>
        <v>90</v>
      </c>
      <c r="M74" s="24">
        <f t="shared" si="10"/>
        <v>3563877233.0120597</v>
      </c>
      <c r="N74" s="36">
        <f t="shared" si="11"/>
        <v>3563877233.0120597</v>
      </c>
      <c r="O74" s="24">
        <v>6763891296.0023947</v>
      </c>
      <c r="P74" s="24">
        <f t="shared" si="12"/>
        <v>101458369440.03592</v>
      </c>
      <c r="Q74" s="23">
        <f t="shared" si="13"/>
        <v>3.5126498214801176E-2</v>
      </c>
      <c r="R74" s="23">
        <f t="shared" si="14"/>
        <v>1.1708832738267057E-2</v>
      </c>
      <c r="S74" s="23">
        <f t="shared" si="15"/>
        <v>0.10537949464440352</v>
      </c>
    </row>
    <row r="75" spans="1:19" ht="15" customHeight="1" x14ac:dyDescent="0.25">
      <c r="A75" s="19" t="s">
        <v>171</v>
      </c>
      <c r="B75" s="19" t="s">
        <v>170</v>
      </c>
      <c r="C75" s="19" t="s">
        <v>40</v>
      </c>
      <c r="D75" s="19" t="s">
        <v>32</v>
      </c>
      <c r="E75" s="24">
        <v>35264291</v>
      </c>
      <c r="F75" s="21">
        <v>77.040000000000006</v>
      </c>
      <c r="G75" s="21">
        <f>100-F75</f>
        <v>22.959999999999994</v>
      </c>
      <c r="H75" s="24">
        <f t="shared" si="8"/>
        <v>8096681.2135999976</v>
      </c>
      <c r="I75" s="36">
        <f t="shared" si="9"/>
        <v>8096681.2135999976</v>
      </c>
      <c r="J75" s="19">
        <v>150</v>
      </c>
      <c r="K75" s="19">
        <f>0.02*10*365*7.5</f>
        <v>547.5</v>
      </c>
      <c r="L75" s="19">
        <f>0.08*150*7.5</f>
        <v>90</v>
      </c>
      <c r="M75" s="24">
        <f t="shared" si="10"/>
        <v>6376136455.7099981</v>
      </c>
      <c r="N75" s="36">
        <f t="shared" si="11"/>
        <v>6376136455.7099981</v>
      </c>
      <c r="O75" s="24">
        <v>4194607406.4218354</v>
      </c>
      <c r="P75" s="24">
        <f t="shared" si="12"/>
        <v>62919111096.32753</v>
      </c>
      <c r="Q75" s="23">
        <f t="shared" si="13"/>
        <v>0.10133862898902526</v>
      </c>
      <c r="R75" s="23">
        <f t="shared" si="14"/>
        <v>3.3779542996341755E-2</v>
      </c>
      <c r="S75" s="23">
        <f t="shared" si="15"/>
        <v>0.30401588696707577</v>
      </c>
    </row>
    <row r="76" spans="1:19" ht="15" customHeight="1" x14ac:dyDescent="0.25">
      <c r="A76" s="19" t="s">
        <v>173</v>
      </c>
      <c r="B76" s="19" t="s">
        <v>172</v>
      </c>
      <c r="C76" s="19" t="s">
        <v>45</v>
      </c>
      <c r="D76" s="19" t="s">
        <v>19</v>
      </c>
      <c r="E76" s="24">
        <v>10975530</v>
      </c>
      <c r="F76" s="21">
        <v>94.55573837</v>
      </c>
      <c r="G76" s="21">
        <f>100-F76</f>
        <v>5.4442616299999997</v>
      </c>
      <c r="H76" s="24">
        <f t="shared" si="8"/>
        <v>597536.56847913901</v>
      </c>
      <c r="I76" s="36">
        <f t="shared" si="9"/>
        <v>597536.56847913901</v>
      </c>
      <c r="J76" s="19">
        <v>150</v>
      </c>
      <c r="K76" s="19">
        <f>0.02*10*365*7.5</f>
        <v>547.5</v>
      </c>
      <c r="L76" s="19">
        <f>0.08*150*7.5</f>
        <v>90</v>
      </c>
      <c r="M76" s="24">
        <f t="shared" si="10"/>
        <v>470560047.67732197</v>
      </c>
      <c r="N76" s="36">
        <f t="shared" si="11"/>
        <v>470560047.67732197</v>
      </c>
      <c r="O76" s="24">
        <v>629296452.81922984</v>
      </c>
      <c r="P76" s="24">
        <f t="shared" si="12"/>
        <v>9439446792.2884483</v>
      </c>
      <c r="Q76" s="23">
        <f t="shared" si="13"/>
        <v>4.9850384035401922E-2</v>
      </c>
      <c r="R76" s="23">
        <f t="shared" si="14"/>
        <v>1.6616794678467307E-2</v>
      </c>
      <c r="S76" s="23">
        <f t="shared" si="15"/>
        <v>0.14955115210620579</v>
      </c>
    </row>
    <row r="77" spans="1:19" ht="15" customHeight="1" x14ac:dyDescent="0.25">
      <c r="A77" s="19" t="s">
        <v>175</v>
      </c>
      <c r="B77" s="19" t="s">
        <v>174</v>
      </c>
      <c r="C77" s="19" t="s">
        <v>29</v>
      </c>
      <c r="D77" s="19" t="s">
        <v>19</v>
      </c>
      <c r="E77" s="24">
        <v>54649</v>
      </c>
      <c r="F77" s="21" t="s">
        <v>232</v>
      </c>
      <c r="G77" s="21">
        <v>14.792992315545245</v>
      </c>
      <c r="H77" s="24">
        <f t="shared" si="8"/>
        <v>8084.2223705223205</v>
      </c>
      <c r="I77" s="36">
        <f t="shared" si="9"/>
        <v>8084.2223705223205</v>
      </c>
      <c r="J77" s="19">
        <v>150</v>
      </c>
      <c r="K77" s="19">
        <f>0.02*10*365*7.5</f>
        <v>547.5</v>
      </c>
      <c r="L77" s="19">
        <f>0.08*150*7.5</f>
        <v>90</v>
      </c>
      <c r="M77" s="24">
        <f t="shared" si="10"/>
        <v>6366325.1167863272</v>
      </c>
      <c r="N77" s="36">
        <f t="shared" si="11"/>
        <v>6366325.1167863272</v>
      </c>
      <c r="O77" s="24" t="s">
        <v>232</v>
      </c>
      <c r="P77" s="24" t="e">
        <f t="shared" si="12"/>
        <v>#VALUE!</v>
      </c>
      <c r="Q77" s="23" t="e">
        <f t="shared" si="13"/>
        <v>#VALUE!</v>
      </c>
      <c r="R77" s="23" t="e">
        <f t="shared" si="14"/>
        <v>#VALUE!</v>
      </c>
      <c r="S77" s="23" t="e">
        <f t="shared" si="15"/>
        <v>#VALUE!</v>
      </c>
    </row>
    <row r="78" spans="1:19" x14ac:dyDescent="0.25">
      <c r="A78" s="31" t="s">
        <v>177</v>
      </c>
      <c r="B78" s="31" t="s">
        <v>176</v>
      </c>
      <c r="C78" s="31" t="s">
        <v>18</v>
      </c>
      <c r="D78" s="31" t="s">
        <v>35</v>
      </c>
      <c r="E78" s="30">
        <v>107433</v>
      </c>
      <c r="F78" s="27">
        <v>67.314869999999999</v>
      </c>
      <c r="G78" s="27">
        <f>100-F78</f>
        <v>32.685130000000001</v>
      </c>
      <c r="H78" s="24">
        <f t="shared" si="8"/>
        <v>35114.615712899998</v>
      </c>
      <c r="I78" s="36">
        <f t="shared" si="9"/>
        <v>35114.615712899998</v>
      </c>
      <c r="J78" s="31">
        <v>150</v>
      </c>
      <c r="K78" s="31">
        <f>0.02*10*365*7.5</f>
        <v>547.5</v>
      </c>
      <c r="L78" s="31">
        <f>0.08*150*7.5</f>
        <v>90</v>
      </c>
      <c r="M78" s="24">
        <f t="shared" si="10"/>
        <v>27652759.873908747</v>
      </c>
      <c r="N78" s="36">
        <f t="shared" si="11"/>
        <v>27652759.873908747</v>
      </c>
      <c r="O78" s="30">
        <v>0</v>
      </c>
      <c r="P78" s="24">
        <f t="shared" si="12"/>
        <v>0</v>
      </c>
      <c r="Q78" s="23" t="e">
        <f t="shared" si="13"/>
        <v>#DIV/0!</v>
      </c>
      <c r="R78" s="23" t="e">
        <f t="shared" si="14"/>
        <v>#DIV/0!</v>
      </c>
      <c r="S78" s="23" t="e">
        <f t="shared" si="15"/>
        <v>#DIV/0!</v>
      </c>
    </row>
    <row r="79" spans="1:19" ht="15" customHeight="1" x14ac:dyDescent="0.25">
      <c r="A79" s="19" t="s">
        <v>179</v>
      </c>
      <c r="B79" s="19" t="s">
        <v>178</v>
      </c>
      <c r="C79" s="19" t="s">
        <v>29</v>
      </c>
      <c r="D79" s="19" t="s">
        <v>26</v>
      </c>
      <c r="E79" s="24">
        <v>200008</v>
      </c>
      <c r="F79" s="21" t="s">
        <v>232</v>
      </c>
      <c r="G79" s="21">
        <v>31.129346349193881</v>
      </c>
      <c r="H79" s="24">
        <f t="shared" si="8"/>
        <v>62261.183046095699</v>
      </c>
      <c r="I79" s="36">
        <f t="shared" si="9"/>
        <v>62261.183046095699</v>
      </c>
      <c r="J79" s="19">
        <v>150</v>
      </c>
      <c r="K79" s="19">
        <f>0.02*10*365*7.5</f>
        <v>547.5</v>
      </c>
      <c r="L79" s="19">
        <f>0.08*150*7.5</f>
        <v>90</v>
      </c>
      <c r="M79" s="24">
        <f t="shared" si="10"/>
        <v>49030681.648800366</v>
      </c>
      <c r="N79" s="36">
        <f t="shared" si="11"/>
        <v>49030681.648800366</v>
      </c>
      <c r="O79" s="24" t="s">
        <v>232</v>
      </c>
      <c r="P79" s="24" t="e">
        <f t="shared" si="12"/>
        <v>#VALUE!</v>
      </c>
      <c r="Q79" s="23" t="e">
        <f t="shared" si="13"/>
        <v>#VALUE!</v>
      </c>
      <c r="R79" s="23" t="e">
        <f t="shared" si="14"/>
        <v>#VALUE!</v>
      </c>
      <c r="S79" s="23" t="e">
        <f t="shared" si="15"/>
        <v>#VALUE!</v>
      </c>
    </row>
    <row r="80" spans="1:19" ht="15" customHeight="1" x14ac:dyDescent="0.25">
      <c r="A80" s="19" t="s">
        <v>181</v>
      </c>
      <c r="B80" s="19" t="s">
        <v>180</v>
      </c>
      <c r="C80" s="19" t="s">
        <v>40</v>
      </c>
      <c r="D80" s="19" t="s">
        <v>35</v>
      </c>
      <c r="E80" s="24">
        <v>22566243</v>
      </c>
      <c r="F80" s="21">
        <v>72.143859131837843</v>
      </c>
      <c r="G80" s="21">
        <f>100-F80</f>
        <v>27.856140868162157</v>
      </c>
      <c r="H80" s="24">
        <f t="shared" si="8"/>
        <v>6286084.4387317812</v>
      </c>
      <c r="I80" s="36">
        <f t="shared" si="9"/>
        <v>6286084.4387317812</v>
      </c>
      <c r="J80" s="19">
        <v>150</v>
      </c>
      <c r="K80" s="19">
        <f>0.02*10*365*7.5</f>
        <v>547.5</v>
      </c>
      <c r="L80" s="19">
        <f>0.08*150*7.5</f>
        <v>90</v>
      </c>
      <c r="M80" s="24">
        <f t="shared" si="10"/>
        <v>4950291495.5012779</v>
      </c>
      <c r="N80" s="36">
        <f t="shared" si="11"/>
        <v>4950291495.5012779</v>
      </c>
      <c r="O80" s="24">
        <v>1835017152.9300125</v>
      </c>
      <c r="P80" s="24">
        <f t="shared" si="12"/>
        <v>27525257293.950188</v>
      </c>
      <c r="Q80" s="23">
        <f t="shared" si="13"/>
        <v>0.17984542133923337</v>
      </c>
      <c r="R80" s="23">
        <f t="shared" si="14"/>
        <v>5.9948473779744459E-2</v>
      </c>
      <c r="S80" s="23">
        <f t="shared" si="15"/>
        <v>0.53953626401770005</v>
      </c>
    </row>
    <row r="81" spans="1:19" x14ac:dyDescent="0.25">
      <c r="A81" s="19" t="s">
        <v>183</v>
      </c>
      <c r="B81" s="19" t="s">
        <v>182</v>
      </c>
      <c r="C81" s="19" t="s">
        <v>14</v>
      </c>
      <c r="D81" s="19" t="s">
        <v>32</v>
      </c>
      <c r="E81" s="24">
        <v>17322136</v>
      </c>
      <c r="F81" s="21">
        <v>9.5833333332500281</v>
      </c>
      <c r="G81" s="21">
        <f>100-F81</f>
        <v>90.416666666749975</v>
      </c>
      <c r="H81" s="24">
        <f t="shared" si="8"/>
        <v>15662097.966681099</v>
      </c>
      <c r="I81" s="36">
        <f t="shared" si="9"/>
        <v>15662097.966681099</v>
      </c>
      <c r="J81" s="19">
        <v>150</v>
      </c>
      <c r="K81" s="19">
        <f>0.02*10*365*7.5</f>
        <v>547.5</v>
      </c>
      <c r="L81" s="19">
        <f>0.08*150*7.5</f>
        <v>90</v>
      </c>
      <c r="M81" s="24">
        <f t="shared" si="10"/>
        <v>12333902148.761366</v>
      </c>
      <c r="N81" s="36">
        <f t="shared" si="11"/>
        <v>12333902148.761366</v>
      </c>
      <c r="O81" s="24">
        <v>1333953226.6564479</v>
      </c>
      <c r="P81" s="24">
        <f t="shared" si="12"/>
        <v>20009298399.846718</v>
      </c>
      <c r="Q81" s="23">
        <f t="shared" si="13"/>
        <v>0.61640852679051705</v>
      </c>
      <c r="R81" s="23">
        <f t="shared" si="14"/>
        <v>0.20546950893017235</v>
      </c>
      <c r="S81" s="23">
        <f t="shared" si="15"/>
        <v>1.8492255803715512</v>
      </c>
    </row>
    <row r="82" spans="1:19" ht="15" customHeight="1" x14ac:dyDescent="0.25">
      <c r="A82" s="19" t="s">
        <v>185</v>
      </c>
      <c r="B82" s="19" t="s">
        <v>184</v>
      </c>
      <c r="C82" s="19" t="s">
        <v>14</v>
      </c>
      <c r="D82" s="19" t="s">
        <v>32</v>
      </c>
      <c r="E82" s="24">
        <v>2472642</v>
      </c>
      <c r="F82" s="21" t="s">
        <v>232</v>
      </c>
      <c r="G82" s="21">
        <v>59.651025134275415</v>
      </c>
      <c r="H82" s="24">
        <f t="shared" si="8"/>
        <v>1474956.3009006502</v>
      </c>
      <c r="I82" s="36">
        <f t="shared" si="9"/>
        <v>1474956.3009006502</v>
      </c>
      <c r="J82" s="19">
        <v>150</v>
      </c>
      <c r="K82" s="19">
        <f>0.02*10*365*7.5</f>
        <v>547.5</v>
      </c>
      <c r="L82" s="19">
        <f>0.08*150*7.5</f>
        <v>90</v>
      </c>
      <c r="M82" s="24">
        <f t="shared" si="10"/>
        <v>1161528086.9592621</v>
      </c>
      <c r="N82" s="36">
        <f t="shared" si="11"/>
        <v>1161528086.9592621</v>
      </c>
      <c r="O82" s="24">
        <v>142038641.37615088</v>
      </c>
      <c r="P82" s="24">
        <f t="shared" si="12"/>
        <v>2130579620.6422632</v>
      </c>
      <c r="Q82" s="23">
        <f t="shared" si="13"/>
        <v>0.54516999773475705</v>
      </c>
      <c r="R82" s="23">
        <f t="shared" si="14"/>
        <v>0.18172333257825235</v>
      </c>
      <c r="S82" s="23">
        <f t="shared" si="15"/>
        <v>1.6355099932042712</v>
      </c>
    </row>
    <row r="83" spans="1:19" ht="15" customHeight="1" x14ac:dyDescent="0.25">
      <c r="A83" s="19" t="s">
        <v>187</v>
      </c>
      <c r="B83" s="19" t="s">
        <v>186</v>
      </c>
      <c r="C83" s="19" t="s">
        <v>40</v>
      </c>
      <c r="D83" s="19" t="s">
        <v>35</v>
      </c>
      <c r="E83" s="24">
        <v>852670</v>
      </c>
      <c r="F83" s="21">
        <v>44.367043324818013</v>
      </c>
      <c r="G83" s="21">
        <f>100-F83</f>
        <v>55.632956675181987</v>
      </c>
      <c r="H83" s="24">
        <f t="shared" si="8"/>
        <v>474365.53168227425</v>
      </c>
      <c r="I83" s="36">
        <f t="shared" si="9"/>
        <v>474365.53168227425</v>
      </c>
      <c r="J83" s="19">
        <v>150</v>
      </c>
      <c r="K83" s="19">
        <f>0.02*10*365*7.5</f>
        <v>547.5</v>
      </c>
      <c r="L83" s="19">
        <f>0.08*150*7.5</f>
        <v>90</v>
      </c>
      <c r="M83" s="24">
        <f t="shared" si="10"/>
        <v>373562856.19979095</v>
      </c>
      <c r="N83" s="36">
        <f t="shared" si="11"/>
        <v>373562856.19979095</v>
      </c>
      <c r="O83" s="24">
        <v>405082963.00590253</v>
      </c>
      <c r="P83" s="24">
        <f t="shared" si="12"/>
        <v>6076244445.0885382</v>
      </c>
      <c r="Q83" s="23">
        <f t="shared" si="13"/>
        <v>6.1479234348733924E-2</v>
      </c>
      <c r="R83" s="23">
        <f t="shared" si="14"/>
        <v>2.0493078116244644E-2</v>
      </c>
      <c r="S83" s="23">
        <f t="shared" si="15"/>
        <v>0.18443770304620177</v>
      </c>
    </row>
    <row r="84" spans="1:19" ht="15" customHeight="1" x14ac:dyDescent="0.25">
      <c r="A84" s="19" t="s">
        <v>189</v>
      </c>
      <c r="B84" s="19" t="s">
        <v>188</v>
      </c>
      <c r="C84" s="19" t="s">
        <v>14</v>
      </c>
      <c r="D84" s="19" t="s">
        <v>35</v>
      </c>
      <c r="E84" s="24">
        <v>12536811</v>
      </c>
      <c r="F84" s="21">
        <v>25.966666666279405</v>
      </c>
      <c r="G84" s="21">
        <f>100-F84</f>
        <v>74.033333333720591</v>
      </c>
      <c r="H84" s="24">
        <f t="shared" si="8"/>
        <v>9281419.0770485513</v>
      </c>
      <c r="I84" s="36">
        <f t="shared" si="9"/>
        <v>9281419.0770485513</v>
      </c>
      <c r="J84" s="19">
        <v>150</v>
      </c>
      <c r="K84" s="19">
        <f>0.02*10*365*7.5</f>
        <v>547.5</v>
      </c>
      <c r="L84" s="19">
        <f>0.08*150*7.5</f>
        <v>90</v>
      </c>
      <c r="M84" s="24">
        <f t="shared" si="10"/>
        <v>7309117523.1757345</v>
      </c>
      <c r="N84" s="36">
        <f t="shared" si="11"/>
        <v>7309117523.1757345</v>
      </c>
      <c r="O84" s="24">
        <v>161012362.10944861</v>
      </c>
      <c r="P84" s="24">
        <f t="shared" si="12"/>
        <v>2415185431.6417294</v>
      </c>
      <c r="Q84" s="23">
        <f t="shared" si="13"/>
        <v>3.0263173284410465</v>
      </c>
      <c r="R84" s="23">
        <f t="shared" si="14"/>
        <v>1.0087724428136822</v>
      </c>
      <c r="S84" s="23">
        <f t="shared" si="15"/>
        <v>9.0789519853231404</v>
      </c>
    </row>
    <row r="85" spans="1:19" ht="15" customHeight="1" x14ac:dyDescent="0.25">
      <c r="A85" s="19" t="s">
        <v>191</v>
      </c>
      <c r="B85" s="19" t="s">
        <v>190</v>
      </c>
      <c r="C85" s="19" t="s">
        <v>40</v>
      </c>
      <c r="D85" s="19" t="s">
        <v>35</v>
      </c>
      <c r="E85" s="24">
        <v>10811004</v>
      </c>
      <c r="F85" s="21">
        <v>100</v>
      </c>
      <c r="G85" s="21">
        <f>100-F85</f>
        <v>0</v>
      </c>
      <c r="H85" s="24">
        <f t="shared" si="8"/>
        <v>0</v>
      </c>
      <c r="I85" s="36">
        <f t="shared" si="9"/>
        <v>0</v>
      </c>
      <c r="J85" s="19">
        <v>150</v>
      </c>
      <c r="K85" s="19">
        <f>0.02*10*365*7.5</f>
        <v>547.5</v>
      </c>
      <c r="L85" s="19">
        <f>0.08*150*7.5</f>
        <v>90</v>
      </c>
      <c r="M85" s="24">
        <f t="shared" si="10"/>
        <v>0</v>
      </c>
      <c r="N85" s="36">
        <f t="shared" si="11"/>
        <v>0</v>
      </c>
      <c r="O85" s="24">
        <v>717924436.29793561</v>
      </c>
      <c r="P85" s="24">
        <f t="shared" si="12"/>
        <v>10768866544.469034</v>
      </c>
      <c r="Q85" s="23">
        <f t="shared" si="13"/>
        <v>0</v>
      </c>
      <c r="R85" s="23">
        <f t="shared" si="14"/>
        <v>0</v>
      </c>
      <c r="S85" s="23">
        <f t="shared" si="15"/>
        <v>0</v>
      </c>
    </row>
    <row r="86" spans="1:19" ht="15" customHeight="1" x14ac:dyDescent="0.25">
      <c r="A86" s="19" t="s">
        <v>193</v>
      </c>
      <c r="B86" s="19" t="s">
        <v>192</v>
      </c>
      <c r="C86" s="19" t="s">
        <v>29</v>
      </c>
      <c r="D86" s="19" t="s">
        <v>26</v>
      </c>
      <c r="E86" s="24">
        <v>7885155</v>
      </c>
      <c r="F86" s="21" t="s">
        <v>232</v>
      </c>
      <c r="G86" s="21">
        <v>31.129346349193881</v>
      </c>
      <c r="H86" s="24">
        <f t="shared" si="8"/>
        <v>2454597.210120779</v>
      </c>
      <c r="I86" s="36">
        <f t="shared" si="9"/>
        <v>2454597.210120779</v>
      </c>
      <c r="J86" s="19">
        <v>150</v>
      </c>
      <c r="K86" s="19">
        <f>0.02*10*365*7.5</f>
        <v>547.5</v>
      </c>
      <c r="L86" s="19">
        <f>0.08*150*7.5</f>
        <v>90</v>
      </c>
      <c r="M86" s="24">
        <f t="shared" si="10"/>
        <v>1932995302.9701135</v>
      </c>
      <c r="N86" s="36">
        <f t="shared" si="11"/>
        <v>1932995302.9701135</v>
      </c>
      <c r="O86" s="24">
        <v>3134453.5797919827</v>
      </c>
      <c r="P86" s="24">
        <f t="shared" si="12"/>
        <v>47016803.696879737</v>
      </c>
      <c r="Q86" s="23">
        <f t="shared" si="13"/>
        <v>41.112860742985738</v>
      </c>
      <c r="R86" s="23">
        <f t="shared" si="14"/>
        <v>13.704286914328579</v>
      </c>
      <c r="S86" s="23">
        <f t="shared" si="15"/>
        <v>123.33858222895719</v>
      </c>
    </row>
    <row r="87" spans="1:19" ht="15" customHeight="1" x14ac:dyDescent="0.25">
      <c r="A87" s="19" t="s">
        <v>195</v>
      </c>
      <c r="B87" s="19" t="s">
        <v>194</v>
      </c>
      <c r="C87" s="19" t="s">
        <v>18</v>
      </c>
      <c r="D87" s="19" t="s">
        <v>19</v>
      </c>
      <c r="E87" s="24">
        <v>9525243</v>
      </c>
      <c r="F87" s="21">
        <v>91.664115645702097</v>
      </c>
      <c r="G87" s="21">
        <f>100-F87</f>
        <v>8.3358843542979031</v>
      </c>
      <c r="H87" s="24">
        <f t="shared" si="8"/>
        <v>794013.2409458562</v>
      </c>
      <c r="I87" s="36">
        <f t="shared" si="9"/>
        <v>794013.2409458562</v>
      </c>
      <c r="J87" s="19">
        <v>150</v>
      </c>
      <c r="K87" s="19">
        <f>0.02*10*365*7.5</f>
        <v>547.5</v>
      </c>
      <c r="L87" s="19">
        <f>0.08*150*7.5</f>
        <v>90</v>
      </c>
      <c r="M87" s="24">
        <f t="shared" si="10"/>
        <v>625285427.24486172</v>
      </c>
      <c r="N87" s="36">
        <f t="shared" si="11"/>
        <v>625285427.24486172</v>
      </c>
      <c r="O87" s="24">
        <v>1095685098.3472166</v>
      </c>
      <c r="P87" s="24">
        <f t="shared" si="12"/>
        <v>16435276475.208248</v>
      </c>
      <c r="Q87" s="23">
        <f t="shared" si="13"/>
        <v>3.8045324530321833E-2</v>
      </c>
      <c r="R87" s="23">
        <f t="shared" si="14"/>
        <v>1.2681774843440612E-2</v>
      </c>
      <c r="S87" s="23">
        <f t="shared" si="15"/>
        <v>0.11413597359096551</v>
      </c>
    </row>
    <row r="88" spans="1:19" ht="15" customHeight="1" x14ac:dyDescent="0.25">
      <c r="A88" s="19" t="s">
        <v>197</v>
      </c>
      <c r="B88" s="19" t="s">
        <v>196</v>
      </c>
      <c r="C88" s="19" t="s">
        <v>45</v>
      </c>
      <c r="D88" s="19" t="s">
        <v>19</v>
      </c>
      <c r="E88" s="24">
        <v>383558</v>
      </c>
      <c r="F88" s="21">
        <v>100</v>
      </c>
      <c r="G88" s="21">
        <f>100-F88</f>
        <v>0</v>
      </c>
      <c r="H88" s="24">
        <f t="shared" si="8"/>
        <v>0</v>
      </c>
      <c r="I88" s="36">
        <f t="shared" si="9"/>
        <v>0</v>
      </c>
      <c r="J88" s="19">
        <v>150</v>
      </c>
      <c r="K88" s="19">
        <f>0.02*10*365*7.5</f>
        <v>547.5</v>
      </c>
      <c r="L88" s="19">
        <f>0.08*150*7.5</f>
        <v>90</v>
      </c>
      <c r="M88" s="24">
        <f t="shared" si="10"/>
        <v>0</v>
      </c>
      <c r="N88" s="36">
        <f t="shared" si="11"/>
        <v>0</v>
      </c>
      <c r="O88" s="24">
        <v>0</v>
      </c>
      <c r="P88" s="24">
        <f t="shared" si="12"/>
        <v>0</v>
      </c>
      <c r="Q88" s="23" t="e">
        <f t="shared" si="13"/>
        <v>#DIV/0!</v>
      </c>
      <c r="R88" s="23" t="e">
        <f t="shared" si="14"/>
        <v>#DIV/0!</v>
      </c>
      <c r="S88" s="23" t="e">
        <f t="shared" si="15"/>
        <v>#DIV/0!</v>
      </c>
    </row>
    <row r="89" spans="1:19" x14ac:dyDescent="0.25">
      <c r="A89" s="19" t="s">
        <v>199</v>
      </c>
      <c r="B89" s="19" t="s">
        <v>198</v>
      </c>
      <c r="C89" s="19" t="s">
        <v>40</v>
      </c>
      <c r="D89" s="19" t="s">
        <v>15</v>
      </c>
      <c r="E89" s="24">
        <v>1476377903</v>
      </c>
      <c r="F89" s="21">
        <v>24.4</v>
      </c>
      <c r="G89" s="21">
        <f>100-F89</f>
        <v>75.599999999999994</v>
      </c>
      <c r="H89" s="24">
        <f t="shared" si="8"/>
        <v>1116141694.6679997</v>
      </c>
      <c r="I89" s="36">
        <f t="shared" si="9"/>
        <v>1116141694.6679997</v>
      </c>
      <c r="J89" s="19">
        <v>150</v>
      </c>
      <c r="K89" s="19">
        <f>0.02*10*365*7.5</f>
        <v>547.5</v>
      </c>
      <c r="L89" s="19">
        <f>0.08*150*7.5</f>
        <v>90</v>
      </c>
      <c r="M89" s="24">
        <f t="shared" si="10"/>
        <v>878961584551.0498</v>
      </c>
      <c r="N89" s="36">
        <f t="shared" si="11"/>
        <v>878961584551.0498</v>
      </c>
      <c r="O89" s="24">
        <v>106120979971.95012</v>
      </c>
      <c r="P89" s="24">
        <f t="shared" si="12"/>
        <v>1591814699579.2517</v>
      </c>
      <c r="Q89" s="23">
        <f t="shared" si="13"/>
        <v>0.55217581844380303</v>
      </c>
      <c r="R89" s="23">
        <f t="shared" si="14"/>
        <v>0.18405860614793437</v>
      </c>
      <c r="S89" s="23">
        <f t="shared" si="15"/>
        <v>1.6565274553314091</v>
      </c>
    </row>
    <row r="90" spans="1:19" x14ac:dyDescent="0.25">
      <c r="A90" s="19" t="s">
        <v>201</v>
      </c>
      <c r="B90" s="19" t="s">
        <v>200</v>
      </c>
      <c r="C90" s="19" t="s">
        <v>40</v>
      </c>
      <c r="D90" s="19" t="s">
        <v>26</v>
      </c>
      <c r="E90" s="24">
        <v>293482460</v>
      </c>
      <c r="F90" s="21">
        <v>71.999655559999994</v>
      </c>
      <c r="G90" s="21">
        <f>100-F90</f>
        <v>28.000344440000006</v>
      </c>
      <c r="H90" s="24">
        <f t="shared" si="8"/>
        <v>82176099.670985252</v>
      </c>
      <c r="I90" s="36">
        <f t="shared" si="9"/>
        <v>82176099.670985252</v>
      </c>
      <c r="J90" s="19">
        <v>150</v>
      </c>
      <c r="K90" s="19">
        <f>0.02*10*365*7.5</f>
        <v>547.5</v>
      </c>
      <c r="L90" s="19">
        <f>0.08*150*7.5</f>
        <v>90</v>
      </c>
      <c r="M90" s="24">
        <f t="shared" si="10"/>
        <v>64713678490.900887</v>
      </c>
      <c r="N90" s="36">
        <f t="shared" si="11"/>
        <v>64713678490.900887</v>
      </c>
      <c r="O90" s="24">
        <v>59899197819.567902</v>
      </c>
      <c r="P90" s="24">
        <f t="shared" si="12"/>
        <v>898487967293.51855</v>
      </c>
      <c r="Q90" s="23">
        <f t="shared" si="13"/>
        <v>7.2025091984075709E-2</v>
      </c>
      <c r="R90" s="23">
        <f t="shared" si="14"/>
        <v>2.4008363994691907E-2</v>
      </c>
      <c r="S90" s="23">
        <f t="shared" si="15"/>
        <v>0.21607527595222714</v>
      </c>
    </row>
    <row r="91" spans="1:19" ht="15" customHeight="1" x14ac:dyDescent="0.25">
      <c r="A91" s="19" t="s">
        <v>203</v>
      </c>
      <c r="B91" s="19" t="s">
        <v>202</v>
      </c>
      <c r="C91" s="19" t="s">
        <v>18</v>
      </c>
      <c r="D91" s="19" t="s">
        <v>22</v>
      </c>
      <c r="E91" s="24">
        <v>91336270</v>
      </c>
      <c r="F91" s="21">
        <v>94.8</v>
      </c>
      <c r="G91" s="21">
        <f>100-F91</f>
        <v>5.2000000000000028</v>
      </c>
      <c r="H91" s="24">
        <f t="shared" si="8"/>
        <v>4749486.0400000019</v>
      </c>
      <c r="I91" s="36">
        <f t="shared" si="9"/>
        <v>4749486.0400000019</v>
      </c>
      <c r="J91" s="19">
        <v>150</v>
      </c>
      <c r="K91" s="19">
        <f>0.02*10*365*7.5</f>
        <v>547.5</v>
      </c>
      <c r="L91" s="19">
        <f>0.08*150*7.5</f>
        <v>90</v>
      </c>
      <c r="M91" s="24">
        <f t="shared" si="10"/>
        <v>3740220256.5000014</v>
      </c>
      <c r="N91" s="36">
        <f t="shared" si="11"/>
        <v>3740220256.5000014</v>
      </c>
      <c r="O91" s="24">
        <v>130357567150.05748</v>
      </c>
      <c r="P91" s="24">
        <f t="shared" si="12"/>
        <v>1955363507250.8623</v>
      </c>
      <c r="Q91" s="23">
        <f t="shared" si="13"/>
        <v>1.9128004806423708E-3</v>
      </c>
      <c r="R91" s="23">
        <f t="shared" si="14"/>
        <v>6.3760016021412365E-4</v>
      </c>
      <c r="S91" s="23">
        <f t="shared" si="15"/>
        <v>5.7384014419271127E-3</v>
      </c>
    </row>
    <row r="92" spans="1:19" ht="15" customHeight="1" x14ac:dyDescent="0.25">
      <c r="A92" s="19" t="s">
        <v>205</v>
      </c>
      <c r="B92" s="19" t="s">
        <v>204</v>
      </c>
      <c r="C92" s="19" t="s">
        <v>18</v>
      </c>
      <c r="D92" s="19" t="s">
        <v>22</v>
      </c>
      <c r="E92" s="24">
        <v>50966609</v>
      </c>
      <c r="F92" s="21">
        <v>94.3</v>
      </c>
      <c r="G92" s="21">
        <f>100-F92</f>
        <v>5.7000000000000028</v>
      </c>
      <c r="H92" s="24">
        <f t="shared" si="8"/>
        <v>2905096.7130000014</v>
      </c>
      <c r="I92" s="36">
        <f t="shared" si="9"/>
        <v>2905096.7130000014</v>
      </c>
      <c r="J92" s="19">
        <v>150</v>
      </c>
      <c r="K92" s="19">
        <f>0.02*10*365*7.5</f>
        <v>547.5</v>
      </c>
      <c r="L92" s="19">
        <f>0.08*150*7.5</f>
        <v>90</v>
      </c>
      <c r="M92" s="24">
        <f t="shared" si="10"/>
        <v>2287763661.4875011</v>
      </c>
      <c r="N92" s="36">
        <f t="shared" si="11"/>
        <v>2287763661.4875011</v>
      </c>
      <c r="O92" s="24">
        <v>60551177603.513367</v>
      </c>
      <c r="P92" s="24">
        <f t="shared" si="12"/>
        <v>908267664052.70044</v>
      </c>
      <c r="Q92" s="23">
        <f t="shared" si="13"/>
        <v>2.5188209952113393E-3</v>
      </c>
      <c r="R92" s="23">
        <f t="shared" si="14"/>
        <v>8.3960699840377958E-4</v>
      </c>
      <c r="S92" s="23">
        <f t="shared" si="15"/>
        <v>7.556462985634017E-3</v>
      </c>
    </row>
    <row r="93" spans="1:19" ht="15" customHeight="1" x14ac:dyDescent="0.25">
      <c r="A93" s="19" t="s">
        <v>207</v>
      </c>
      <c r="B93" s="19" t="s">
        <v>206</v>
      </c>
      <c r="C93" s="19" t="s">
        <v>45</v>
      </c>
      <c r="D93" s="19" t="s">
        <v>19</v>
      </c>
      <c r="E93" s="24">
        <v>5346841</v>
      </c>
      <c r="F93" s="21">
        <v>94</v>
      </c>
      <c r="G93" s="21">
        <f>100-F93</f>
        <v>6</v>
      </c>
      <c r="H93" s="24">
        <f t="shared" si="8"/>
        <v>320810.45999999996</v>
      </c>
      <c r="I93" s="36">
        <f t="shared" si="9"/>
        <v>320810.45999999996</v>
      </c>
      <c r="J93" s="19">
        <v>150</v>
      </c>
      <c r="K93" s="19">
        <f>0.02*10*365*7.5</f>
        <v>547.5</v>
      </c>
      <c r="L93" s="19">
        <f>0.08*150*7.5</f>
        <v>90</v>
      </c>
      <c r="M93" s="24">
        <f t="shared" si="10"/>
        <v>252638237.24999997</v>
      </c>
      <c r="N93" s="36">
        <f t="shared" si="11"/>
        <v>252638237.24999997</v>
      </c>
      <c r="O93" s="24">
        <v>414476099.13160717</v>
      </c>
      <c r="P93" s="24">
        <f t="shared" si="12"/>
        <v>6217141486.9741077</v>
      </c>
      <c r="Q93" s="23">
        <f t="shared" si="13"/>
        <v>4.0635754836739188E-2</v>
      </c>
      <c r="R93" s="23">
        <f t="shared" si="14"/>
        <v>1.3545251612246395E-2</v>
      </c>
      <c r="S93" s="23">
        <f t="shared" si="15"/>
        <v>0.12190726451021756</v>
      </c>
    </row>
    <row r="94" spans="1:19" ht="15" customHeight="1" x14ac:dyDescent="0.25">
      <c r="A94" s="19" t="s">
        <v>209</v>
      </c>
      <c r="B94" s="19" t="s">
        <v>208</v>
      </c>
      <c r="C94" s="19" t="s">
        <v>29</v>
      </c>
      <c r="D94" s="19" t="s">
        <v>19</v>
      </c>
      <c r="E94" s="24">
        <v>94237</v>
      </c>
      <c r="F94" s="21" t="s">
        <v>232</v>
      </c>
      <c r="G94" s="21">
        <v>14.792992315545245</v>
      </c>
      <c r="H94" s="24">
        <f t="shared" si="8"/>
        <v>13940.472168400373</v>
      </c>
      <c r="I94" s="36">
        <f t="shared" si="9"/>
        <v>13940.472168400373</v>
      </c>
      <c r="J94" s="19">
        <v>150</v>
      </c>
      <c r="K94" s="19">
        <f>0.02*10*365*7.5</f>
        <v>547.5</v>
      </c>
      <c r="L94" s="19">
        <f>0.08*150*7.5</f>
        <v>90</v>
      </c>
      <c r="M94" s="24">
        <f t="shared" si="10"/>
        <v>10978121.832615294</v>
      </c>
      <c r="N94" s="36">
        <f t="shared" si="11"/>
        <v>10978121.832615294</v>
      </c>
      <c r="O94" s="24" t="s">
        <v>232</v>
      </c>
      <c r="P94" s="24" t="e">
        <f t="shared" si="12"/>
        <v>#VALUE!</v>
      </c>
      <c r="Q94" s="23" t="e">
        <f t="shared" si="13"/>
        <v>#VALUE!</v>
      </c>
      <c r="R94" s="23" t="e">
        <f t="shared" si="14"/>
        <v>#VALUE!</v>
      </c>
      <c r="S94" s="23" t="e">
        <f t="shared" si="15"/>
        <v>#VALUE!</v>
      </c>
    </row>
    <row r="95" spans="1:19" ht="15" customHeight="1" x14ac:dyDescent="0.25">
      <c r="A95" s="19" t="s">
        <v>211</v>
      </c>
      <c r="B95" s="19" t="s">
        <v>210</v>
      </c>
      <c r="C95" s="19" t="s">
        <v>45</v>
      </c>
      <c r="D95" s="19" t="s">
        <v>22</v>
      </c>
      <c r="E95" s="24">
        <v>9632030</v>
      </c>
      <c r="F95" s="21">
        <v>92.143412400000003</v>
      </c>
      <c r="G95" s="21">
        <f>100-F95</f>
        <v>7.8565875999999975</v>
      </c>
      <c r="H95" s="24">
        <f t="shared" si="8"/>
        <v>756748.87460827979</v>
      </c>
      <c r="I95" s="36">
        <f t="shared" si="9"/>
        <v>756748.87460827979</v>
      </c>
      <c r="J95" s="19">
        <v>150</v>
      </c>
      <c r="K95" s="19">
        <f>0.02*10*365*7.5</f>
        <v>547.5</v>
      </c>
      <c r="L95" s="19">
        <f>0.08*150*7.5</f>
        <v>90</v>
      </c>
      <c r="M95" s="24">
        <f t="shared" si="10"/>
        <v>595939738.75402033</v>
      </c>
      <c r="N95" s="36">
        <f t="shared" si="11"/>
        <v>595939738.75402033</v>
      </c>
      <c r="O95" s="24">
        <v>683998780.19966102</v>
      </c>
      <c r="P95" s="24">
        <f t="shared" si="12"/>
        <v>10259981702.994915</v>
      </c>
      <c r="Q95" s="23">
        <f t="shared" si="13"/>
        <v>5.8083898783178531E-2</v>
      </c>
      <c r="R95" s="23">
        <f t="shared" si="14"/>
        <v>1.9361299594392842E-2</v>
      </c>
      <c r="S95" s="23">
        <f t="shared" si="15"/>
        <v>0.17425169634953561</v>
      </c>
    </row>
    <row r="96" spans="1:19" ht="15" customHeight="1" x14ac:dyDescent="0.25">
      <c r="A96" s="19" t="s">
        <v>213</v>
      </c>
      <c r="B96" s="19" t="s">
        <v>212</v>
      </c>
      <c r="C96" s="19" t="s">
        <v>45</v>
      </c>
      <c r="D96" s="19" t="s">
        <v>19</v>
      </c>
      <c r="E96" s="24">
        <v>61211831</v>
      </c>
      <c r="F96" s="21">
        <v>100</v>
      </c>
      <c r="G96" s="21">
        <f>100-F96</f>
        <v>0</v>
      </c>
      <c r="H96" s="24">
        <f t="shared" si="8"/>
        <v>0</v>
      </c>
      <c r="I96" s="36">
        <f t="shared" si="9"/>
        <v>0</v>
      </c>
      <c r="J96" s="19">
        <v>150</v>
      </c>
      <c r="K96" s="19">
        <f>0.02*10*365*7.5</f>
        <v>547.5</v>
      </c>
      <c r="L96" s="19">
        <f>0.08*150*7.5</f>
        <v>90</v>
      </c>
      <c r="M96" s="24">
        <f t="shared" si="10"/>
        <v>0</v>
      </c>
      <c r="N96" s="36">
        <f t="shared" si="11"/>
        <v>0</v>
      </c>
      <c r="O96" s="24">
        <v>3978955289.0601716</v>
      </c>
      <c r="P96" s="24">
        <f t="shared" si="12"/>
        <v>59684329335.902573</v>
      </c>
      <c r="Q96" s="23">
        <f t="shared" si="13"/>
        <v>0</v>
      </c>
      <c r="R96" s="23">
        <f t="shared" si="14"/>
        <v>0</v>
      </c>
      <c r="S96" s="23">
        <f t="shared" si="15"/>
        <v>0</v>
      </c>
    </row>
    <row r="97" spans="1:19" ht="15" customHeight="1" x14ac:dyDescent="0.25">
      <c r="A97" s="19" t="s">
        <v>215</v>
      </c>
      <c r="B97" s="19" t="s">
        <v>214</v>
      </c>
      <c r="C97" s="19" t="s">
        <v>18</v>
      </c>
      <c r="D97" s="19" t="s">
        <v>35</v>
      </c>
      <c r="E97" s="24">
        <v>2949838</v>
      </c>
      <c r="F97" s="21">
        <v>91.567255029999998</v>
      </c>
      <c r="G97" s="21">
        <f>100-F97</f>
        <v>8.4327449700000017</v>
      </c>
      <c r="H97" s="24">
        <f t="shared" si="8"/>
        <v>248752.31556814865</v>
      </c>
      <c r="I97" s="36">
        <f t="shared" si="9"/>
        <v>248752.31556814865</v>
      </c>
      <c r="J97" s="19">
        <v>150</v>
      </c>
      <c r="K97" s="19">
        <f>0.02*10*365*7.5</f>
        <v>547.5</v>
      </c>
      <c r="L97" s="19">
        <f>0.08*150*7.5</f>
        <v>90</v>
      </c>
      <c r="M97" s="24">
        <f t="shared" si="10"/>
        <v>195892448.50991705</v>
      </c>
      <c r="N97" s="36">
        <f t="shared" si="11"/>
        <v>195892448.50991705</v>
      </c>
      <c r="O97" s="24">
        <v>244066186.95842627</v>
      </c>
      <c r="P97" s="24">
        <f t="shared" si="12"/>
        <v>3660992804.3763938</v>
      </c>
      <c r="Q97" s="23">
        <f t="shared" si="13"/>
        <v>5.3508012437430884E-2</v>
      </c>
      <c r="R97" s="23">
        <f t="shared" si="14"/>
        <v>1.7836004145810297E-2</v>
      </c>
      <c r="S97" s="23">
        <f t="shared" si="15"/>
        <v>0.16052403731229267</v>
      </c>
    </row>
    <row r="98" spans="1:19" x14ac:dyDescent="0.25">
      <c r="A98" s="19" t="s">
        <v>217</v>
      </c>
      <c r="B98" s="19" t="s">
        <v>216</v>
      </c>
      <c r="C98" s="19" t="s">
        <v>45</v>
      </c>
      <c r="D98" s="19" t="s">
        <v>26</v>
      </c>
      <c r="E98" s="24">
        <v>120624738</v>
      </c>
      <c r="F98" s="21">
        <v>93.23528202</v>
      </c>
      <c r="G98" s="21">
        <f>100-F98</f>
        <v>6.7647179800000004</v>
      </c>
      <c r="H98" s="24">
        <f t="shared" si="8"/>
        <v>8159923.3398138918</v>
      </c>
      <c r="I98" s="36">
        <f t="shared" si="9"/>
        <v>8159923.3398138918</v>
      </c>
      <c r="J98" s="19">
        <v>150</v>
      </c>
      <c r="K98" s="19">
        <f>0.02*10*365*7.5</f>
        <v>547.5</v>
      </c>
      <c r="L98" s="19">
        <f>0.08*150*7.5</f>
        <v>90</v>
      </c>
      <c r="M98" s="24">
        <f t="shared" si="10"/>
        <v>6425939630.1034393</v>
      </c>
      <c r="N98" s="36">
        <f t="shared" si="11"/>
        <v>6425939630.1034393</v>
      </c>
      <c r="O98" s="24">
        <v>1629780081.2566016</v>
      </c>
      <c r="P98" s="24">
        <f t="shared" si="12"/>
        <v>24446701218.849022</v>
      </c>
      <c r="Q98" s="23">
        <f t="shared" si="13"/>
        <v>0.26285508104254485</v>
      </c>
      <c r="R98" s="23">
        <f t="shared" si="14"/>
        <v>8.7618360347514954E-2</v>
      </c>
      <c r="S98" s="23">
        <f t="shared" si="15"/>
        <v>0.78856524312763454</v>
      </c>
    </row>
    <row r="99" spans="1:19" ht="15" customHeight="1" x14ac:dyDescent="0.25">
      <c r="A99" s="19" t="s">
        <v>219</v>
      </c>
      <c r="B99" s="19" t="s">
        <v>218</v>
      </c>
      <c r="C99" s="19" t="s">
        <v>18</v>
      </c>
      <c r="D99" s="19" t="s">
        <v>22</v>
      </c>
      <c r="E99" s="24">
        <v>9355173</v>
      </c>
      <c r="F99" s="21">
        <v>100</v>
      </c>
      <c r="G99" s="21">
        <f>100-F99</f>
        <v>0</v>
      </c>
      <c r="H99" s="24">
        <f t="shared" si="8"/>
        <v>0</v>
      </c>
      <c r="I99" s="36">
        <f t="shared" si="9"/>
        <v>0</v>
      </c>
      <c r="J99" s="19">
        <v>150</v>
      </c>
      <c r="K99" s="19">
        <f>0.02*10*365*7.5</f>
        <v>547.5</v>
      </c>
      <c r="L99" s="19">
        <f>0.08*150*7.5</f>
        <v>90</v>
      </c>
      <c r="M99" s="24">
        <f t="shared" si="10"/>
        <v>0</v>
      </c>
      <c r="N99" s="36">
        <f t="shared" si="11"/>
        <v>0</v>
      </c>
      <c r="O99" s="24">
        <v>479904568.92910677</v>
      </c>
      <c r="P99" s="24">
        <f t="shared" si="12"/>
        <v>7198568533.9366016</v>
      </c>
      <c r="Q99" s="23">
        <f t="shared" si="13"/>
        <v>0</v>
      </c>
      <c r="R99" s="23">
        <f t="shared" si="14"/>
        <v>0</v>
      </c>
      <c r="S99" s="23">
        <f t="shared" si="15"/>
        <v>0</v>
      </c>
    </row>
    <row r="100" spans="1:19" ht="15" customHeight="1" x14ac:dyDescent="0.25">
      <c r="A100" s="19" t="s">
        <v>221</v>
      </c>
      <c r="B100" s="19" t="s">
        <v>220</v>
      </c>
      <c r="C100" s="19" t="s">
        <v>18</v>
      </c>
      <c r="D100" s="19" t="s">
        <v>19</v>
      </c>
      <c r="E100" s="24">
        <v>18572745</v>
      </c>
      <c r="F100" s="21">
        <v>39.9</v>
      </c>
      <c r="G100" s="21">
        <f>100-F100</f>
        <v>60.1</v>
      </c>
      <c r="H100" s="24">
        <f t="shared" si="8"/>
        <v>11162219.744999999</v>
      </c>
      <c r="I100" s="36">
        <f t="shared" si="9"/>
        <v>11162219.744999999</v>
      </c>
      <c r="J100" s="19">
        <v>150</v>
      </c>
      <c r="K100" s="19">
        <f>0.02*10*365*7.5</f>
        <v>547.5</v>
      </c>
      <c r="L100" s="19">
        <f>0.08*150*7.5</f>
        <v>90</v>
      </c>
      <c r="M100" s="24">
        <f t="shared" si="10"/>
        <v>8790248049.1875</v>
      </c>
      <c r="N100" s="36">
        <f t="shared" si="11"/>
        <v>8790248049.1875</v>
      </c>
      <c r="O100" s="24">
        <v>52080674870.849876</v>
      </c>
      <c r="P100" s="24">
        <f t="shared" si="12"/>
        <v>781210123062.74817</v>
      </c>
      <c r="Q100" s="23">
        <f t="shared" si="13"/>
        <v>1.1252091837629007E-2</v>
      </c>
      <c r="R100" s="23">
        <f t="shared" si="14"/>
        <v>3.7506972792096683E-3</v>
      </c>
      <c r="S100" s="23">
        <f t="shared" si="15"/>
        <v>3.375627551288702E-2</v>
      </c>
    </row>
    <row r="101" spans="1:19" ht="15" customHeight="1" x14ac:dyDescent="0.25">
      <c r="A101" s="19" t="s">
        <v>223</v>
      </c>
      <c r="B101" s="19" t="s">
        <v>222</v>
      </c>
      <c r="C101" s="19" t="s">
        <v>14</v>
      </c>
      <c r="D101" s="19" t="s">
        <v>32</v>
      </c>
      <c r="E101" s="24">
        <v>66306062.999999993</v>
      </c>
      <c r="F101" s="21">
        <v>63.2</v>
      </c>
      <c r="G101" s="21">
        <f>100-F101</f>
        <v>36.799999999999997</v>
      </c>
      <c r="H101" s="24">
        <f t="shared" si="8"/>
        <v>24400631.183999997</v>
      </c>
      <c r="I101" s="36">
        <f t="shared" si="9"/>
        <v>24400631.183999997</v>
      </c>
      <c r="J101" s="19">
        <v>150</v>
      </c>
      <c r="K101" s="19">
        <f>0.02*10*365*7.5</f>
        <v>547.5</v>
      </c>
      <c r="L101" s="19">
        <f>0.08*150*7.5</f>
        <v>90</v>
      </c>
      <c r="M101" s="24">
        <f t="shared" si="10"/>
        <v>19215497057.399998</v>
      </c>
      <c r="N101" s="36">
        <f t="shared" si="11"/>
        <v>19215497057.399998</v>
      </c>
      <c r="O101" s="24">
        <v>1419333043.2990847</v>
      </c>
      <c r="P101" s="24">
        <f t="shared" si="12"/>
        <v>21289995649.486271</v>
      </c>
      <c r="Q101" s="23">
        <f t="shared" si="13"/>
        <v>0.90255993348987218</v>
      </c>
      <c r="R101" s="23">
        <f t="shared" si="14"/>
        <v>0.30085331116329073</v>
      </c>
      <c r="S101" s="23">
        <f t="shared" si="15"/>
        <v>2.707679800469617</v>
      </c>
    </row>
    <row r="102" spans="1:19" ht="15" customHeight="1" x14ac:dyDescent="0.25">
      <c r="A102" s="19" t="s">
        <v>225</v>
      </c>
      <c r="B102" s="19" t="s">
        <v>224</v>
      </c>
      <c r="C102" s="19" t="s">
        <v>40</v>
      </c>
      <c r="D102" s="19" t="s">
        <v>26</v>
      </c>
      <c r="E102" s="24">
        <v>130715</v>
      </c>
      <c r="F102" s="21">
        <v>7.2</v>
      </c>
      <c r="G102" s="21">
        <f>100-F102</f>
        <v>92.8</v>
      </c>
      <c r="H102" s="24">
        <f t="shared" si="8"/>
        <v>121303.51999999999</v>
      </c>
      <c r="I102" s="36">
        <f t="shared" si="9"/>
        <v>121303.51999999999</v>
      </c>
      <c r="J102" s="19">
        <v>150</v>
      </c>
      <c r="K102" s="19">
        <f>0.02*10*365*7.5</f>
        <v>547.5</v>
      </c>
      <c r="L102" s="19">
        <f>0.08*150*7.5</f>
        <v>90</v>
      </c>
      <c r="M102" s="24">
        <f t="shared" si="10"/>
        <v>95526521.999999985</v>
      </c>
      <c r="N102" s="36">
        <f t="shared" si="11"/>
        <v>95526521.999999985</v>
      </c>
      <c r="O102" s="24">
        <v>147463.39816805688</v>
      </c>
      <c r="P102" s="24">
        <f t="shared" si="12"/>
        <v>2211950.9725208534</v>
      </c>
      <c r="Q102" s="23">
        <f t="shared" si="13"/>
        <v>43.186545808080474</v>
      </c>
      <c r="R102" s="23">
        <f t="shared" si="14"/>
        <v>14.395515269360157</v>
      </c>
      <c r="S102" s="23">
        <f t="shared" si="15"/>
        <v>129.5596374242414</v>
      </c>
    </row>
    <row r="103" spans="1:19" ht="15" customHeight="1" x14ac:dyDescent="0.25">
      <c r="A103" s="19" t="s">
        <v>227</v>
      </c>
      <c r="B103" s="19" t="s">
        <v>226</v>
      </c>
      <c r="C103" s="19" t="s">
        <v>14</v>
      </c>
      <c r="D103" s="19" t="s">
        <v>26</v>
      </c>
      <c r="E103" s="24">
        <v>26718625</v>
      </c>
      <c r="F103" s="21" t="s">
        <v>232</v>
      </c>
      <c r="G103" s="21">
        <v>31.129346349193881</v>
      </c>
      <c r="H103" s="24">
        <f t="shared" si="8"/>
        <v>8317333.3159923041</v>
      </c>
      <c r="I103" s="36">
        <f t="shared" si="9"/>
        <v>8317333.3159923041</v>
      </c>
      <c r="J103" s="19">
        <v>150</v>
      </c>
      <c r="K103" s="19">
        <f>0.02*10*365*7.5</f>
        <v>547.5</v>
      </c>
      <c r="L103" s="19">
        <f>0.08*150*7.5</f>
        <v>90</v>
      </c>
      <c r="M103" s="24">
        <f t="shared" si="10"/>
        <v>6549899986.3439398</v>
      </c>
      <c r="N103" s="36">
        <f t="shared" si="11"/>
        <v>6549899986.3439398</v>
      </c>
      <c r="O103" s="24" t="s">
        <v>232</v>
      </c>
      <c r="P103" s="24" t="e">
        <f t="shared" si="12"/>
        <v>#VALUE!</v>
      </c>
      <c r="Q103" s="23" t="e">
        <f t="shared" si="13"/>
        <v>#VALUE!</v>
      </c>
      <c r="R103" s="23" t="e">
        <f t="shared" si="14"/>
        <v>#VALUE!</v>
      </c>
      <c r="S103" s="23" t="e">
        <f t="shared" si="15"/>
        <v>#VALUE!</v>
      </c>
    </row>
    <row r="104" spans="1:19" ht="15" customHeight="1" x14ac:dyDescent="0.25">
      <c r="A104" s="19" t="s">
        <v>229</v>
      </c>
      <c r="B104" s="19" t="s">
        <v>228</v>
      </c>
      <c r="C104" s="19" t="s">
        <v>45</v>
      </c>
      <c r="D104" s="19" t="s">
        <v>26</v>
      </c>
      <c r="E104" s="24">
        <v>52190069</v>
      </c>
      <c r="F104" s="21">
        <v>96.086848349999997</v>
      </c>
      <c r="G104" s="21">
        <f>100-F104</f>
        <v>3.9131516500000032</v>
      </c>
      <c r="H104" s="24">
        <f t="shared" si="8"/>
        <v>2042276.5462096401</v>
      </c>
      <c r="I104" s="36">
        <f t="shared" si="9"/>
        <v>2042276.5462096401</v>
      </c>
      <c r="J104" s="19">
        <v>150</v>
      </c>
      <c r="K104" s="19">
        <f>0.02*10*365*7.5</f>
        <v>547.5</v>
      </c>
      <c r="L104" s="19">
        <f>0.08*150*7.5</f>
        <v>90</v>
      </c>
      <c r="M104" s="24">
        <f t="shared" si="10"/>
        <v>1608292780.1400917</v>
      </c>
      <c r="N104" s="36">
        <f t="shared" si="11"/>
        <v>1608292780.1400917</v>
      </c>
      <c r="O104" s="24">
        <v>614733047.31301725</v>
      </c>
      <c r="P104" s="24">
        <f t="shared" si="12"/>
        <v>9220995709.6952591</v>
      </c>
      <c r="Q104" s="23">
        <f t="shared" si="13"/>
        <v>0.17441638959327133</v>
      </c>
      <c r="R104" s="23">
        <f t="shared" si="14"/>
        <v>5.8138796531090442E-2</v>
      </c>
      <c r="S104" s="23">
        <f t="shared" si="15"/>
        <v>0.52324916877981398</v>
      </c>
    </row>
    <row r="105" spans="1:19" ht="15" customHeight="1" x14ac:dyDescent="0.25">
      <c r="A105" s="19" t="s">
        <v>231</v>
      </c>
      <c r="B105" s="19" t="s">
        <v>230</v>
      </c>
      <c r="C105" s="19" t="s">
        <v>40</v>
      </c>
      <c r="D105" s="19" t="s">
        <v>19</v>
      </c>
      <c r="E105" s="24" t="s">
        <v>232</v>
      </c>
      <c r="F105" s="21" t="s">
        <v>232</v>
      </c>
      <c r="G105" s="21">
        <v>14.792992315545245</v>
      </c>
      <c r="H105" s="24" t="e">
        <f t="shared" si="8"/>
        <v>#VALUE!</v>
      </c>
      <c r="I105" s="36">
        <f t="shared" si="9"/>
        <v>0</v>
      </c>
      <c r="J105" s="19">
        <v>150</v>
      </c>
      <c r="K105" s="19">
        <f>0.02*10*365*7.5</f>
        <v>547.5</v>
      </c>
      <c r="L105" s="19">
        <f>0.08*150*7.5</f>
        <v>90</v>
      </c>
      <c r="M105" s="24" t="e">
        <f t="shared" si="10"/>
        <v>#VALUE!</v>
      </c>
      <c r="N105" s="36">
        <f t="shared" si="11"/>
        <v>0</v>
      </c>
      <c r="O105" s="24">
        <v>177423641.54793903</v>
      </c>
      <c r="P105" s="24">
        <f t="shared" si="12"/>
        <v>2661354623.2190857</v>
      </c>
      <c r="Q105" s="23" t="e">
        <f t="shared" si="13"/>
        <v>#VALUE!</v>
      </c>
      <c r="R105" s="23" t="e">
        <f t="shared" si="14"/>
        <v>#VALUE!</v>
      </c>
      <c r="S105" s="23" t="e">
        <f t="shared" si="15"/>
        <v>#VALUE!</v>
      </c>
    </row>
    <row r="106" spans="1:19" ht="15" customHeight="1" x14ac:dyDescent="0.25">
      <c r="A106" s="19" t="s">
        <v>234</v>
      </c>
      <c r="B106" s="19" t="s">
        <v>233</v>
      </c>
      <c r="C106" s="19" t="s">
        <v>29</v>
      </c>
      <c r="D106" s="19" t="s">
        <v>22</v>
      </c>
      <c r="E106" s="24">
        <v>4832793</v>
      </c>
      <c r="F106" s="21">
        <v>92.6</v>
      </c>
      <c r="G106" s="21">
        <f>100-F106</f>
        <v>7.4000000000000057</v>
      </c>
      <c r="H106" s="24">
        <f t="shared" si="8"/>
        <v>357626.68200000026</v>
      </c>
      <c r="I106" s="36">
        <f t="shared" si="9"/>
        <v>357626.68200000026</v>
      </c>
      <c r="J106" s="19">
        <v>150</v>
      </c>
      <c r="K106" s="19">
        <f>0.02*10*365*7.5</f>
        <v>547.5</v>
      </c>
      <c r="L106" s="19">
        <f>0.08*150*7.5</f>
        <v>90</v>
      </c>
      <c r="M106" s="24">
        <f t="shared" si="10"/>
        <v>281631012.07500023</v>
      </c>
      <c r="N106" s="36">
        <f t="shared" si="11"/>
        <v>281631012.07500023</v>
      </c>
      <c r="O106" s="24">
        <v>62059401760.996567</v>
      </c>
      <c r="P106" s="24">
        <f t="shared" si="12"/>
        <v>930891026414.94849</v>
      </c>
      <c r="Q106" s="23">
        <f t="shared" si="13"/>
        <v>3.0253918459136812E-4</v>
      </c>
      <c r="R106" s="23">
        <f t="shared" si="14"/>
        <v>1.0084639486378936E-4</v>
      </c>
      <c r="S106" s="23">
        <f t="shared" si="15"/>
        <v>9.0761755377410426E-4</v>
      </c>
    </row>
    <row r="107" spans="1:19" ht="15" customHeight="1" x14ac:dyDescent="0.25">
      <c r="A107" s="19" t="s">
        <v>236</v>
      </c>
      <c r="B107" s="19" t="s">
        <v>235</v>
      </c>
      <c r="C107" s="19" t="s">
        <v>14</v>
      </c>
      <c r="D107" s="19" t="s">
        <v>19</v>
      </c>
      <c r="E107" s="24">
        <v>6871058</v>
      </c>
      <c r="F107" s="21">
        <v>44.915064459544993</v>
      </c>
      <c r="G107" s="21">
        <f>100-F107</f>
        <v>55.084935540455007</v>
      </c>
      <c r="H107" s="24">
        <f t="shared" si="8"/>
        <v>3784917.870247277</v>
      </c>
      <c r="I107" s="36">
        <f t="shared" si="9"/>
        <v>3784917.870247277</v>
      </c>
      <c r="J107" s="19">
        <v>150</v>
      </c>
      <c r="K107" s="19">
        <f>0.02*10*365*7.5</f>
        <v>547.5</v>
      </c>
      <c r="L107" s="19">
        <f>0.08*150*7.5</f>
        <v>90</v>
      </c>
      <c r="M107" s="24">
        <f t="shared" si="10"/>
        <v>2980622822.8197308</v>
      </c>
      <c r="N107" s="36">
        <f t="shared" si="11"/>
        <v>2980622822.8197308</v>
      </c>
      <c r="O107" s="24">
        <v>577303538.49183607</v>
      </c>
      <c r="P107" s="24">
        <f t="shared" si="12"/>
        <v>8659553077.3775406</v>
      </c>
      <c r="Q107" s="23">
        <f t="shared" si="13"/>
        <v>0.34420053739336659</v>
      </c>
      <c r="R107" s="23">
        <f t="shared" si="14"/>
        <v>0.11473351246445553</v>
      </c>
      <c r="S107" s="23">
        <f t="shared" si="15"/>
        <v>1.0326016121800998</v>
      </c>
    </row>
    <row r="108" spans="1:19" ht="15" customHeight="1" x14ac:dyDescent="0.25">
      <c r="A108" s="19" t="s">
        <v>238</v>
      </c>
      <c r="B108" s="19" t="s">
        <v>237</v>
      </c>
      <c r="C108" s="19" t="s">
        <v>40</v>
      </c>
      <c r="D108" s="19" t="s">
        <v>26</v>
      </c>
      <c r="E108" s="24">
        <v>8806260</v>
      </c>
      <c r="F108" s="21" t="s">
        <v>232</v>
      </c>
      <c r="G108" s="21">
        <v>31.129346349193881</v>
      </c>
      <c r="H108" s="24">
        <f t="shared" si="8"/>
        <v>2741331.175810521</v>
      </c>
      <c r="I108" s="36">
        <f t="shared" si="9"/>
        <v>2741331.175810521</v>
      </c>
      <c r="J108" s="19">
        <v>150</v>
      </c>
      <c r="K108" s="19">
        <f>0.02*10*365*7.5</f>
        <v>547.5</v>
      </c>
      <c r="L108" s="19">
        <f>0.08*150*7.5</f>
        <v>90</v>
      </c>
      <c r="M108" s="24">
        <f t="shared" si="10"/>
        <v>2158798300.9507852</v>
      </c>
      <c r="N108" s="36">
        <f t="shared" si="11"/>
        <v>2158798300.9507852</v>
      </c>
      <c r="O108" s="24">
        <v>1331952550.8132415</v>
      </c>
      <c r="P108" s="24">
        <f t="shared" si="12"/>
        <v>19979288262.198624</v>
      </c>
      <c r="Q108" s="23">
        <f t="shared" si="13"/>
        <v>0.10805181208758534</v>
      </c>
      <c r="R108" s="23">
        <f t="shared" si="14"/>
        <v>3.6017270695861782E-2</v>
      </c>
      <c r="S108" s="23">
        <f t="shared" si="15"/>
        <v>0.32415543626275606</v>
      </c>
    </row>
    <row r="109" spans="1:19" ht="15" customHeight="1" x14ac:dyDescent="0.25">
      <c r="A109" s="19" t="s">
        <v>240</v>
      </c>
      <c r="B109" s="19" t="s">
        <v>239</v>
      </c>
      <c r="C109" s="19" t="s">
        <v>29</v>
      </c>
      <c r="D109" s="19" t="s">
        <v>19</v>
      </c>
      <c r="E109" s="24">
        <v>1855822</v>
      </c>
      <c r="F109" s="21">
        <v>100</v>
      </c>
      <c r="G109" s="21">
        <f>100-F109</f>
        <v>0</v>
      </c>
      <c r="H109" s="24">
        <f t="shared" si="8"/>
        <v>0</v>
      </c>
      <c r="I109" s="36">
        <f t="shared" si="9"/>
        <v>0</v>
      </c>
      <c r="J109" s="19">
        <v>150</v>
      </c>
      <c r="K109" s="19">
        <f>0.02*10*365*7.5</f>
        <v>547.5</v>
      </c>
      <c r="L109" s="19">
        <f>0.08*150*7.5</f>
        <v>90</v>
      </c>
      <c r="M109" s="24">
        <f t="shared" si="10"/>
        <v>0</v>
      </c>
      <c r="N109" s="36">
        <f t="shared" si="11"/>
        <v>0</v>
      </c>
      <c r="O109" s="24">
        <v>581674804.62426615</v>
      </c>
      <c r="P109" s="24">
        <f t="shared" si="12"/>
        <v>8725122069.3639927</v>
      </c>
      <c r="Q109" s="23">
        <f t="shared" si="13"/>
        <v>0</v>
      </c>
      <c r="R109" s="23">
        <f t="shared" si="14"/>
        <v>0</v>
      </c>
      <c r="S109" s="23">
        <f t="shared" si="15"/>
        <v>0</v>
      </c>
    </row>
    <row r="110" spans="1:19" ht="15" customHeight="1" x14ac:dyDescent="0.25">
      <c r="A110" s="19" t="s">
        <v>242</v>
      </c>
      <c r="B110" s="19" t="s">
        <v>241</v>
      </c>
      <c r="C110" s="19" t="s">
        <v>18</v>
      </c>
      <c r="D110" s="19" t="s">
        <v>22</v>
      </c>
      <c r="E110" s="24">
        <v>5171981</v>
      </c>
      <c r="F110" s="21">
        <v>42.51</v>
      </c>
      <c r="G110" s="21">
        <f>100-F110</f>
        <v>57.49</v>
      </c>
      <c r="H110" s="24">
        <f t="shared" si="8"/>
        <v>2973371.8769</v>
      </c>
      <c r="I110" s="36">
        <f t="shared" si="9"/>
        <v>2973371.8769</v>
      </c>
      <c r="J110" s="19">
        <v>150</v>
      </c>
      <c r="K110" s="19">
        <f>0.02*10*365*7.5</f>
        <v>547.5</v>
      </c>
      <c r="L110" s="19">
        <f>0.08*150*7.5</f>
        <v>90</v>
      </c>
      <c r="M110" s="24">
        <f t="shared" si="10"/>
        <v>2341530353.0587502</v>
      </c>
      <c r="N110" s="36">
        <f t="shared" si="11"/>
        <v>2341530353.0587502</v>
      </c>
      <c r="O110" s="24">
        <v>1265644.42328598</v>
      </c>
      <c r="P110" s="24">
        <f t="shared" si="12"/>
        <v>18984666.3492897</v>
      </c>
      <c r="Q110" s="23">
        <f t="shared" si="13"/>
        <v>123.33797760666766</v>
      </c>
      <c r="R110" s="23">
        <f t="shared" si="14"/>
        <v>41.112659202222552</v>
      </c>
      <c r="S110" s="23">
        <f t="shared" si="15"/>
        <v>370.01393282000299</v>
      </c>
    </row>
    <row r="111" spans="1:19" ht="15" customHeight="1" x14ac:dyDescent="0.25">
      <c r="A111" s="19" t="s">
        <v>244</v>
      </c>
      <c r="B111" s="19" t="s">
        <v>243</v>
      </c>
      <c r="C111" s="19" t="s">
        <v>40</v>
      </c>
      <c r="D111" s="19" t="s">
        <v>32</v>
      </c>
      <c r="E111" s="24">
        <v>2419217</v>
      </c>
      <c r="F111" s="21" t="s">
        <v>232</v>
      </c>
      <c r="G111" s="21">
        <v>59.651025134275415</v>
      </c>
      <c r="H111" s="24">
        <f t="shared" si="8"/>
        <v>1443087.7407226637</v>
      </c>
      <c r="I111" s="36">
        <f t="shared" si="9"/>
        <v>1443087.7407226637</v>
      </c>
      <c r="J111" s="19">
        <v>150</v>
      </c>
      <c r="K111" s="19">
        <f>0.02*10*365*7.5</f>
        <v>547.5</v>
      </c>
      <c r="L111" s="19">
        <f>0.08*150*7.5</f>
        <v>90</v>
      </c>
      <c r="M111" s="24">
        <f t="shared" si="10"/>
        <v>1136431595.8190978</v>
      </c>
      <c r="N111" s="36">
        <f t="shared" si="11"/>
        <v>1136431595.8190978</v>
      </c>
      <c r="O111" s="24">
        <v>103261507.33429362</v>
      </c>
      <c r="P111" s="24">
        <f t="shared" si="12"/>
        <v>1548922610.0144043</v>
      </c>
      <c r="Q111" s="23">
        <f t="shared" si="13"/>
        <v>0.73369165668550052</v>
      </c>
      <c r="R111" s="23">
        <f t="shared" si="14"/>
        <v>0.24456388556183351</v>
      </c>
      <c r="S111" s="23">
        <f t="shared" si="15"/>
        <v>2.201074970056502</v>
      </c>
    </row>
    <row r="112" spans="1:19" x14ac:dyDescent="0.25">
      <c r="A112" s="19" t="s">
        <v>246</v>
      </c>
      <c r="B112" s="19" t="s">
        <v>245</v>
      </c>
      <c r="C112" s="19" t="s">
        <v>14</v>
      </c>
      <c r="D112" s="19" t="s">
        <v>32</v>
      </c>
      <c r="E112" s="24">
        <v>6395182</v>
      </c>
      <c r="F112" s="21">
        <v>50.45</v>
      </c>
      <c r="G112" s="21">
        <f>100-F112</f>
        <v>49.55</v>
      </c>
      <c r="H112" s="24">
        <f t="shared" si="8"/>
        <v>3168812.6809999999</v>
      </c>
      <c r="I112" s="36">
        <f t="shared" si="9"/>
        <v>3168812.6809999999</v>
      </c>
      <c r="J112" s="19">
        <v>150</v>
      </c>
      <c r="K112" s="19">
        <f>0.02*10*365*7.5</f>
        <v>547.5</v>
      </c>
      <c r="L112" s="19">
        <f>0.08*150*7.5</f>
        <v>90</v>
      </c>
      <c r="M112" s="24">
        <f t="shared" si="10"/>
        <v>2495439986.2874999</v>
      </c>
      <c r="N112" s="36">
        <f t="shared" si="11"/>
        <v>2495439986.2874999</v>
      </c>
      <c r="O112" s="24">
        <v>414154618.30642617</v>
      </c>
      <c r="P112" s="24">
        <f t="shared" si="12"/>
        <v>6212319274.5963926</v>
      </c>
      <c r="Q112" s="23">
        <f t="shared" si="13"/>
        <v>0.40169216615957426</v>
      </c>
      <c r="R112" s="23">
        <f t="shared" si="14"/>
        <v>0.1338973887198581</v>
      </c>
      <c r="S112" s="23">
        <f t="shared" si="15"/>
        <v>1.2050764984787226</v>
      </c>
    </row>
    <row r="113" spans="1:19" ht="15" customHeight="1" x14ac:dyDescent="0.25">
      <c r="A113" s="19" t="s">
        <v>248</v>
      </c>
      <c r="B113" s="19" t="s">
        <v>247</v>
      </c>
      <c r="C113" s="19" t="s">
        <v>18</v>
      </c>
      <c r="D113" s="19" t="s">
        <v>22</v>
      </c>
      <c r="E113" s="24">
        <v>7459411</v>
      </c>
      <c r="F113" s="21" t="s">
        <v>232</v>
      </c>
      <c r="G113" s="21">
        <v>14.937753881111108</v>
      </c>
      <c r="H113" s="24">
        <f t="shared" si="8"/>
        <v>1114268.4561605288</v>
      </c>
      <c r="I113" s="36">
        <f t="shared" si="9"/>
        <v>1114268.4561605288</v>
      </c>
      <c r="J113" s="19">
        <v>150</v>
      </c>
      <c r="K113" s="19">
        <f>0.02*10*365*7.5</f>
        <v>547.5</v>
      </c>
      <c r="L113" s="19">
        <f>0.08*150*7.5</f>
        <v>90</v>
      </c>
      <c r="M113" s="24">
        <f t="shared" si="10"/>
        <v>877486409.22641647</v>
      </c>
      <c r="N113" s="36">
        <f t="shared" si="11"/>
        <v>877486409.22641647</v>
      </c>
      <c r="O113" s="24" t="s">
        <v>232</v>
      </c>
      <c r="P113" s="24" t="e">
        <f t="shared" si="12"/>
        <v>#VALUE!</v>
      </c>
      <c r="Q113" s="23" t="e">
        <f t="shared" si="13"/>
        <v>#VALUE!</v>
      </c>
      <c r="R113" s="23" t="e">
        <f t="shared" si="14"/>
        <v>#VALUE!</v>
      </c>
      <c r="S113" s="23" t="e">
        <f t="shared" si="15"/>
        <v>#VALUE!</v>
      </c>
    </row>
    <row r="114" spans="1:19" ht="15" customHeight="1" x14ac:dyDescent="0.25">
      <c r="A114" s="19" t="s">
        <v>250</v>
      </c>
      <c r="B114" s="19" t="s">
        <v>249</v>
      </c>
      <c r="C114" s="19" t="s">
        <v>29</v>
      </c>
      <c r="D114" s="19" t="s">
        <v>19</v>
      </c>
      <c r="E114" s="24">
        <v>41314</v>
      </c>
      <c r="F114" s="21" t="s">
        <v>232</v>
      </c>
      <c r="G114" s="21">
        <v>14.792992315545245</v>
      </c>
      <c r="H114" s="24">
        <f t="shared" si="8"/>
        <v>6111.5768452443626</v>
      </c>
      <c r="I114" s="36">
        <f t="shared" si="9"/>
        <v>6111.5768452443626</v>
      </c>
      <c r="J114" s="19">
        <v>150</v>
      </c>
      <c r="K114" s="19">
        <f>0.02*10*365*7.5</f>
        <v>547.5</v>
      </c>
      <c r="L114" s="19">
        <f>0.08*150*7.5</f>
        <v>90</v>
      </c>
      <c r="M114" s="24">
        <f t="shared" si="10"/>
        <v>4812866.765629936</v>
      </c>
      <c r="N114" s="36">
        <f t="shared" si="11"/>
        <v>4812866.765629936</v>
      </c>
      <c r="O114" s="24" t="s">
        <v>232</v>
      </c>
      <c r="P114" s="24" t="e">
        <f t="shared" si="12"/>
        <v>#VALUE!</v>
      </c>
      <c r="Q114" s="23" t="e">
        <f t="shared" si="13"/>
        <v>#VALUE!</v>
      </c>
      <c r="R114" s="23" t="e">
        <f t="shared" si="14"/>
        <v>#VALUE!</v>
      </c>
      <c r="S114" s="23" t="e">
        <f t="shared" si="15"/>
        <v>#VALUE!</v>
      </c>
    </row>
    <row r="115" spans="1:19" ht="15" customHeight="1" x14ac:dyDescent="0.25">
      <c r="A115" s="19" t="s">
        <v>252</v>
      </c>
      <c r="B115" s="19" t="s">
        <v>251</v>
      </c>
      <c r="C115" s="19" t="s">
        <v>29</v>
      </c>
      <c r="D115" s="19" t="s">
        <v>19</v>
      </c>
      <c r="E115" s="24">
        <v>2816749</v>
      </c>
      <c r="F115" s="21">
        <v>92.230674550000003</v>
      </c>
      <c r="G115" s="21">
        <f>100-F115</f>
        <v>7.7693254499999966</v>
      </c>
      <c r="H115" s="24">
        <f t="shared" si="8"/>
        <v>218842.3969196204</v>
      </c>
      <c r="I115" s="36">
        <f t="shared" si="9"/>
        <v>218842.3969196204</v>
      </c>
      <c r="J115" s="19">
        <v>150</v>
      </c>
      <c r="K115" s="19">
        <f>0.02*10*365*7.5</f>
        <v>547.5</v>
      </c>
      <c r="L115" s="19">
        <f>0.08*150*7.5</f>
        <v>90</v>
      </c>
      <c r="M115" s="24">
        <f t="shared" si="10"/>
        <v>172338387.57420108</v>
      </c>
      <c r="N115" s="36">
        <f t="shared" si="11"/>
        <v>172338387.57420108</v>
      </c>
      <c r="O115" s="24">
        <v>397630289.50000304</v>
      </c>
      <c r="P115" s="24">
        <f t="shared" si="12"/>
        <v>5964454342.5000458</v>
      </c>
      <c r="Q115" s="23">
        <f t="shared" si="13"/>
        <v>2.8894242067743645E-2</v>
      </c>
      <c r="R115" s="23">
        <f t="shared" si="14"/>
        <v>9.6314140225812143E-3</v>
      </c>
      <c r="S115" s="23">
        <f t="shared" si="15"/>
        <v>8.668272620323092E-2</v>
      </c>
    </row>
    <row r="116" spans="1:19" ht="15" customHeight="1" x14ac:dyDescent="0.25">
      <c r="A116" s="19" t="s">
        <v>254</v>
      </c>
      <c r="B116" s="19" t="s">
        <v>253</v>
      </c>
      <c r="C116" s="19" t="s">
        <v>45</v>
      </c>
      <c r="D116" s="19" t="s">
        <v>19</v>
      </c>
      <c r="E116" s="24">
        <v>636826</v>
      </c>
      <c r="F116" s="21">
        <v>98.777892120000004</v>
      </c>
      <c r="G116" s="21">
        <f>100-F116</f>
        <v>1.2221078799999958</v>
      </c>
      <c r="H116" s="24">
        <f t="shared" si="8"/>
        <v>7782.7007278887731</v>
      </c>
      <c r="I116" s="36">
        <f t="shared" si="9"/>
        <v>7782.7007278887731</v>
      </c>
      <c r="J116" s="19">
        <v>150</v>
      </c>
      <c r="K116" s="19">
        <f>0.02*10*365*7.5</f>
        <v>547.5</v>
      </c>
      <c r="L116" s="19">
        <f>0.08*150*7.5</f>
        <v>90</v>
      </c>
      <c r="M116" s="24">
        <f t="shared" si="10"/>
        <v>6128876.8232124085</v>
      </c>
      <c r="N116" s="36">
        <f t="shared" si="11"/>
        <v>6128876.8232124085</v>
      </c>
      <c r="O116" s="24">
        <v>58508352.210030153</v>
      </c>
      <c r="P116" s="24">
        <f t="shared" si="12"/>
        <v>877625283.15045226</v>
      </c>
      <c r="Q116" s="23">
        <f t="shared" si="13"/>
        <v>6.983477961358741E-3</v>
      </c>
      <c r="R116" s="23">
        <f t="shared" si="14"/>
        <v>2.3278259871195805E-3</v>
      </c>
      <c r="S116" s="23">
        <f t="shared" si="15"/>
        <v>2.0950433884076226E-2</v>
      </c>
    </row>
    <row r="117" spans="1:19" ht="15" customHeight="1" x14ac:dyDescent="0.25">
      <c r="A117" s="19" t="s">
        <v>256</v>
      </c>
      <c r="B117" s="19" t="s">
        <v>255</v>
      </c>
      <c r="C117" s="19" t="s">
        <v>29</v>
      </c>
      <c r="D117" s="19" t="s">
        <v>26</v>
      </c>
      <c r="E117" s="24">
        <v>701551</v>
      </c>
      <c r="F117" s="21">
        <v>94.392506589999996</v>
      </c>
      <c r="G117" s="21">
        <f>100-F117</f>
        <v>5.6074934100000036</v>
      </c>
      <c r="H117" s="24">
        <f t="shared" si="8"/>
        <v>39339.426092789123</v>
      </c>
      <c r="I117" s="36">
        <f t="shared" si="9"/>
        <v>39339.426092789123</v>
      </c>
      <c r="J117" s="19">
        <v>150</v>
      </c>
      <c r="K117" s="19">
        <f>0.02*10*365*7.5</f>
        <v>547.5</v>
      </c>
      <c r="L117" s="19">
        <f>0.08*150*7.5</f>
        <v>90</v>
      </c>
      <c r="M117" s="24">
        <f t="shared" si="10"/>
        <v>30979798.048071433</v>
      </c>
      <c r="N117" s="36">
        <f t="shared" si="11"/>
        <v>30979798.048071433</v>
      </c>
      <c r="O117" s="24">
        <v>278781.88696400158</v>
      </c>
      <c r="P117" s="24">
        <f t="shared" si="12"/>
        <v>4181728.3044600235</v>
      </c>
      <c r="Q117" s="23">
        <f t="shared" si="13"/>
        <v>7.4083718004897445</v>
      </c>
      <c r="R117" s="23">
        <f t="shared" si="14"/>
        <v>2.4694572668299148</v>
      </c>
      <c r="S117" s="23">
        <f t="shared" si="15"/>
        <v>22.225115401469235</v>
      </c>
    </row>
    <row r="118" spans="1:19" ht="15" customHeight="1" x14ac:dyDescent="0.25">
      <c r="A118" s="19" t="s">
        <v>258</v>
      </c>
      <c r="B118" s="19" t="s">
        <v>257</v>
      </c>
      <c r="C118" s="19" t="s">
        <v>18</v>
      </c>
      <c r="D118" s="19" t="s">
        <v>19</v>
      </c>
      <c r="E118" s="24">
        <v>2068730</v>
      </c>
      <c r="F118" s="21">
        <v>82.9</v>
      </c>
      <c r="G118" s="21">
        <f>100-F118</f>
        <v>17.099999999999994</v>
      </c>
      <c r="H118" s="24">
        <f t="shared" si="8"/>
        <v>353752.82999999984</v>
      </c>
      <c r="I118" s="36">
        <f t="shared" si="9"/>
        <v>353752.82999999984</v>
      </c>
      <c r="J118" s="19">
        <v>150</v>
      </c>
      <c r="K118" s="19">
        <f>0.02*10*365*7.5</f>
        <v>547.5</v>
      </c>
      <c r="L118" s="19">
        <f>0.08*150*7.5</f>
        <v>90</v>
      </c>
      <c r="M118" s="24">
        <f t="shared" si="10"/>
        <v>278580353.62499988</v>
      </c>
      <c r="N118" s="36">
        <f t="shared" si="11"/>
        <v>278580353.62499988</v>
      </c>
      <c r="O118" s="24">
        <v>424368475.62691891</v>
      </c>
      <c r="P118" s="24">
        <f t="shared" si="12"/>
        <v>6365527134.4037838</v>
      </c>
      <c r="Q118" s="23">
        <f t="shared" si="13"/>
        <v>4.3763909530658632E-2</v>
      </c>
      <c r="R118" s="23">
        <f t="shared" si="14"/>
        <v>1.4587969843552878E-2</v>
      </c>
      <c r="S118" s="23">
        <f t="shared" si="15"/>
        <v>0.13129172859197588</v>
      </c>
    </row>
    <row r="119" spans="1:19" x14ac:dyDescent="0.25">
      <c r="A119" s="19" t="s">
        <v>260</v>
      </c>
      <c r="B119" s="19" t="s">
        <v>259</v>
      </c>
      <c r="C119" s="19" t="s">
        <v>14</v>
      </c>
      <c r="D119" s="19" t="s">
        <v>32</v>
      </c>
      <c r="E119" s="24">
        <v>36000163</v>
      </c>
      <c r="F119" s="21">
        <v>26.260447460000002</v>
      </c>
      <c r="G119" s="21">
        <f>100-F119</f>
        <v>73.739552540000005</v>
      </c>
      <c r="H119" s="24">
        <f t="shared" si="8"/>
        <v>26546359.109870642</v>
      </c>
      <c r="I119" s="36">
        <f t="shared" si="9"/>
        <v>26546359.109870642</v>
      </c>
      <c r="J119" s="19">
        <v>150</v>
      </c>
      <c r="K119" s="19">
        <f>0.02*10*365*7.5</f>
        <v>547.5</v>
      </c>
      <c r="L119" s="19">
        <f>0.08*150*7.5</f>
        <v>90</v>
      </c>
      <c r="M119" s="24">
        <f t="shared" si="10"/>
        <v>20905257799.023132</v>
      </c>
      <c r="N119" s="36">
        <f t="shared" si="11"/>
        <v>20905257799.023132</v>
      </c>
      <c r="O119" s="24">
        <v>692026009.85163426</v>
      </c>
      <c r="P119" s="24">
        <f t="shared" si="12"/>
        <v>10380390147.774513</v>
      </c>
      <c r="Q119" s="23">
        <f t="shared" si="13"/>
        <v>2.0139183114909298</v>
      </c>
      <c r="R119" s="23">
        <f t="shared" si="14"/>
        <v>0.67130610383030997</v>
      </c>
      <c r="S119" s="23">
        <f t="shared" si="15"/>
        <v>6.0417549344727899</v>
      </c>
    </row>
    <row r="120" spans="1:19" ht="15" customHeight="1" x14ac:dyDescent="0.25">
      <c r="A120" s="19" t="s">
        <v>262</v>
      </c>
      <c r="B120" s="19" t="s">
        <v>261</v>
      </c>
      <c r="C120" s="19" t="s">
        <v>14</v>
      </c>
      <c r="D120" s="19" t="s">
        <v>32</v>
      </c>
      <c r="E120" s="24">
        <v>25959551</v>
      </c>
      <c r="F120" s="21">
        <v>39</v>
      </c>
      <c r="G120" s="21">
        <f>100-F120</f>
        <v>61</v>
      </c>
      <c r="H120" s="24">
        <f t="shared" si="8"/>
        <v>15835326.109999999</v>
      </c>
      <c r="I120" s="36">
        <f t="shared" si="9"/>
        <v>15835326.109999999</v>
      </c>
      <c r="J120" s="19">
        <v>150</v>
      </c>
      <c r="K120" s="19">
        <f>0.02*10*365*7.5</f>
        <v>547.5</v>
      </c>
      <c r="L120" s="19">
        <f>0.08*150*7.5</f>
        <v>90</v>
      </c>
      <c r="M120" s="24">
        <f t="shared" si="10"/>
        <v>12470319311.625</v>
      </c>
      <c r="N120" s="36">
        <f t="shared" si="11"/>
        <v>12470319311.625</v>
      </c>
      <c r="O120" s="24">
        <v>403920728.59788555</v>
      </c>
      <c r="P120" s="24">
        <f t="shared" si="12"/>
        <v>6058810928.9682837</v>
      </c>
      <c r="Q120" s="23">
        <f t="shared" si="13"/>
        <v>2.0582123221574915</v>
      </c>
      <c r="R120" s="23">
        <f t="shared" si="14"/>
        <v>0.68607077405249728</v>
      </c>
      <c r="S120" s="23">
        <f t="shared" si="15"/>
        <v>6.174636966472475</v>
      </c>
    </row>
    <row r="121" spans="1:19" ht="15" customHeight="1" x14ac:dyDescent="0.25">
      <c r="A121" s="19" t="s">
        <v>264</v>
      </c>
      <c r="B121" s="19" t="s">
        <v>263</v>
      </c>
      <c r="C121" s="19" t="s">
        <v>18</v>
      </c>
      <c r="D121" s="19" t="s">
        <v>26</v>
      </c>
      <c r="E121" s="24">
        <v>36845517</v>
      </c>
      <c r="F121" s="21">
        <v>84.6</v>
      </c>
      <c r="G121" s="21">
        <f>100-F121</f>
        <v>15.400000000000006</v>
      </c>
      <c r="H121" s="24">
        <f t="shared" si="8"/>
        <v>5674209.6180000016</v>
      </c>
      <c r="I121" s="36">
        <f t="shared" si="9"/>
        <v>5674209.6180000016</v>
      </c>
      <c r="J121" s="19">
        <v>150</v>
      </c>
      <c r="K121" s="19">
        <f>0.02*10*365*7.5</f>
        <v>547.5</v>
      </c>
      <c r="L121" s="19">
        <f>0.08*150*7.5</f>
        <v>90</v>
      </c>
      <c r="M121" s="24">
        <f t="shared" si="10"/>
        <v>4468440074.1750011</v>
      </c>
      <c r="N121" s="36">
        <f t="shared" si="11"/>
        <v>4468440074.1750011</v>
      </c>
      <c r="O121" s="24">
        <v>26660491900.712803</v>
      </c>
      <c r="P121" s="24">
        <f t="shared" si="12"/>
        <v>399907378510.69202</v>
      </c>
      <c r="Q121" s="23">
        <f t="shared" si="13"/>
        <v>1.1173687494379482E-2</v>
      </c>
      <c r="R121" s="23">
        <f t="shared" si="14"/>
        <v>3.7245624981264935E-3</v>
      </c>
      <c r="S121" s="23">
        <f t="shared" si="15"/>
        <v>3.3521062483138443E-2</v>
      </c>
    </row>
    <row r="122" spans="1:19" ht="15" customHeight="1" x14ac:dyDescent="0.25">
      <c r="A122" s="19" t="s">
        <v>266</v>
      </c>
      <c r="B122" s="19" t="s">
        <v>265</v>
      </c>
      <c r="C122" s="19" t="s">
        <v>18</v>
      </c>
      <c r="D122" s="19" t="s">
        <v>15</v>
      </c>
      <c r="E122" s="24">
        <v>435873</v>
      </c>
      <c r="F122" s="21">
        <v>96.4</v>
      </c>
      <c r="G122" s="21">
        <f>100-F122</f>
        <v>3.5999999999999943</v>
      </c>
      <c r="H122" s="24">
        <f t="shared" si="8"/>
        <v>15691.427999999974</v>
      </c>
      <c r="I122" s="36">
        <f t="shared" si="9"/>
        <v>15691.427999999974</v>
      </c>
      <c r="J122" s="19">
        <v>150</v>
      </c>
      <c r="K122" s="19">
        <f>0.02*10*365*7.5</f>
        <v>547.5</v>
      </c>
      <c r="L122" s="19">
        <f>0.08*150*7.5</f>
        <v>90</v>
      </c>
      <c r="M122" s="24">
        <f t="shared" si="10"/>
        <v>12356999.54999998</v>
      </c>
      <c r="N122" s="36">
        <f t="shared" si="11"/>
        <v>12356999.54999998</v>
      </c>
      <c r="O122" s="24">
        <v>1158905.3361817906</v>
      </c>
      <c r="P122" s="24">
        <f t="shared" si="12"/>
        <v>17383580.042726859</v>
      </c>
      <c r="Q122" s="23">
        <f t="shared" si="13"/>
        <v>0.71084319338294433</v>
      </c>
      <c r="R122" s="23">
        <f t="shared" si="14"/>
        <v>0.23694773112764811</v>
      </c>
      <c r="S122" s="23">
        <f t="shared" si="15"/>
        <v>2.1325295801488329</v>
      </c>
    </row>
    <row r="123" spans="1:19" ht="15" customHeight="1" x14ac:dyDescent="0.25">
      <c r="A123" s="19" t="s">
        <v>268</v>
      </c>
      <c r="B123" s="19" t="s">
        <v>267</v>
      </c>
      <c r="C123" s="19" t="s">
        <v>14</v>
      </c>
      <c r="D123" s="19" t="s">
        <v>32</v>
      </c>
      <c r="E123" s="24">
        <v>26034111</v>
      </c>
      <c r="F123" s="21">
        <v>22.309298558584278</v>
      </c>
      <c r="G123" s="21">
        <f>100-F123</f>
        <v>77.690701441415726</v>
      </c>
      <c r="H123" s="24">
        <f t="shared" si="8"/>
        <v>20226083.44993677</v>
      </c>
      <c r="I123" s="36">
        <f t="shared" si="9"/>
        <v>20226083.44993677</v>
      </c>
      <c r="J123" s="19">
        <v>150</v>
      </c>
      <c r="K123" s="19">
        <f>0.02*10*365*7.5</f>
        <v>547.5</v>
      </c>
      <c r="L123" s="19">
        <f>0.08*150*7.5</f>
        <v>90</v>
      </c>
      <c r="M123" s="24">
        <f t="shared" si="10"/>
        <v>15928040716.825207</v>
      </c>
      <c r="N123" s="36">
        <f t="shared" si="11"/>
        <v>15928040716.825207</v>
      </c>
      <c r="O123" s="24">
        <v>1347245165.1593575</v>
      </c>
      <c r="P123" s="24">
        <f t="shared" si="12"/>
        <v>20208677477.390362</v>
      </c>
      <c r="Q123" s="23">
        <f t="shared" si="13"/>
        <v>0.78817828304923132</v>
      </c>
      <c r="R123" s="23">
        <f t="shared" si="14"/>
        <v>0.26272609434974381</v>
      </c>
      <c r="S123" s="23">
        <f t="shared" si="15"/>
        <v>2.3645348491476939</v>
      </c>
    </row>
    <row r="124" spans="1:19" ht="15" customHeight="1" x14ac:dyDescent="0.25">
      <c r="A124" s="31" t="s">
        <v>270</v>
      </c>
      <c r="B124" s="31" t="s">
        <v>269</v>
      </c>
      <c r="C124" s="31" t="s">
        <v>29</v>
      </c>
      <c r="D124" s="31" t="s">
        <v>22</v>
      </c>
      <c r="E124" s="30">
        <v>436792</v>
      </c>
      <c r="F124" s="27">
        <v>91.451904409999997</v>
      </c>
      <c r="G124" s="27">
        <f>100-F124</f>
        <v>8.5480955900000026</v>
      </c>
      <c r="H124" s="24">
        <f t="shared" si="8"/>
        <v>37337.397689472811</v>
      </c>
      <c r="I124" s="36">
        <f t="shared" si="9"/>
        <v>37337.397689472811</v>
      </c>
      <c r="J124" s="31">
        <v>150</v>
      </c>
      <c r="K124" s="31">
        <f>0.02*10*365*7.5</f>
        <v>547.5</v>
      </c>
      <c r="L124" s="31">
        <f>0.08*150*7.5</f>
        <v>90</v>
      </c>
      <c r="M124" s="24">
        <f t="shared" si="10"/>
        <v>29403200.680459838</v>
      </c>
      <c r="N124" s="36">
        <f t="shared" si="11"/>
        <v>29403200.680459838</v>
      </c>
      <c r="O124" s="30">
        <v>0</v>
      </c>
      <c r="P124" s="24">
        <f t="shared" si="12"/>
        <v>0</v>
      </c>
      <c r="Q124" s="23" t="e">
        <f t="shared" si="13"/>
        <v>#DIV/0!</v>
      </c>
      <c r="R124" s="23" t="e">
        <f t="shared" si="14"/>
        <v>#DIV/0!</v>
      </c>
      <c r="S124" s="23" t="e">
        <f t="shared" si="15"/>
        <v>#DIV/0!</v>
      </c>
    </row>
    <row r="125" spans="1:19" ht="15" customHeight="1" x14ac:dyDescent="0.25">
      <c r="A125" s="31" t="s">
        <v>272</v>
      </c>
      <c r="B125" s="31" t="s">
        <v>271</v>
      </c>
      <c r="C125" s="31" t="s">
        <v>18</v>
      </c>
      <c r="D125" s="31" t="s">
        <v>26</v>
      </c>
      <c r="E125" s="30">
        <v>58101</v>
      </c>
      <c r="F125" s="21" t="s">
        <v>232</v>
      </c>
      <c r="G125" s="27">
        <v>31.129346349193881</v>
      </c>
      <c r="H125" s="24">
        <f t="shared" si="8"/>
        <v>18086.461522345136</v>
      </c>
      <c r="I125" s="36">
        <f t="shared" si="9"/>
        <v>18086.461522345136</v>
      </c>
      <c r="J125" s="31">
        <v>150</v>
      </c>
      <c r="K125" s="31">
        <f>0.02*10*365*7.5</f>
        <v>547.5</v>
      </c>
      <c r="L125" s="31">
        <f>0.08*150*7.5</f>
        <v>90</v>
      </c>
      <c r="M125" s="24">
        <f t="shared" si="10"/>
        <v>14243088.448846795</v>
      </c>
      <c r="N125" s="36">
        <f t="shared" si="11"/>
        <v>14243088.448846795</v>
      </c>
      <c r="O125" s="30">
        <v>0</v>
      </c>
      <c r="P125" s="24">
        <f t="shared" si="12"/>
        <v>0</v>
      </c>
      <c r="Q125" s="23" t="e">
        <f t="shared" si="13"/>
        <v>#DIV/0!</v>
      </c>
      <c r="R125" s="23" t="e">
        <f t="shared" si="14"/>
        <v>#DIV/0!</v>
      </c>
      <c r="S125" s="23" t="e">
        <f t="shared" si="15"/>
        <v>#DIV/0!</v>
      </c>
    </row>
    <row r="126" spans="1:19" ht="15" customHeight="1" x14ac:dyDescent="0.25">
      <c r="A126" s="19" t="s">
        <v>274</v>
      </c>
      <c r="B126" s="19" t="s">
        <v>273</v>
      </c>
      <c r="C126" s="19" t="s">
        <v>40</v>
      </c>
      <c r="D126" s="19" t="s">
        <v>32</v>
      </c>
      <c r="E126" s="24">
        <v>5640323</v>
      </c>
      <c r="F126" s="21">
        <v>2.9</v>
      </c>
      <c r="G126" s="21">
        <f>100-F126</f>
        <v>97.1</v>
      </c>
      <c r="H126" s="24">
        <f t="shared" si="8"/>
        <v>5476753.6329999994</v>
      </c>
      <c r="I126" s="36">
        <f t="shared" si="9"/>
        <v>5476753.6329999994</v>
      </c>
      <c r="J126" s="19">
        <v>150</v>
      </c>
      <c r="K126" s="19">
        <f>0.02*10*365*7.5</f>
        <v>547.5</v>
      </c>
      <c r="L126" s="19">
        <f>0.08*150*7.5</f>
        <v>90</v>
      </c>
      <c r="M126" s="24">
        <f t="shared" si="10"/>
        <v>4312943485.9874992</v>
      </c>
      <c r="N126" s="36">
        <f t="shared" si="11"/>
        <v>4312943485.9874992</v>
      </c>
      <c r="O126" s="24">
        <v>1996969500.3540106</v>
      </c>
      <c r="P126" s="24">
        <f t="shared" si="12"/>
        <v>29954542505.310158</v>
      </c>
      <c r="Q126" s="23">
        <f t="shared" si="13"/>
        <v>0.14398295301031311</v>
      </c>
      <c r="R126" s="23">
        <f t="shared" si="14"/>
        <v>4.7994317670104369E-2</v>
      </c>
      <c r="S126" s="23">
        <f t="shared" si="15"/>
        <v>0.43194885903093932</v>
      </c>
    </row>
    <row r="127" spans="1:19" ht="15" customHeight="1" x14ac:dyDescent="0.25">
      <c r="A127" s="19" t="s">
        <v>276</v>
      </c>
      <c r="B127" s="19" t="s">
        <v>275</v>
      </c>
      <c r="C127" s="19" t="s">
        <v>18</v>
      </c>
      <c r="D127" s="19" t="s">
        <v>32</v>
      </c>
      <c r="E127" s="24">
        <v>1287944</v>
      </c>
      <c r="F127" s="21">
        <v>87.468981929999998</v>
      </c>
      <c r="G127" s="21">
        <f>100-F127</f>
        <v>12.531018070000002</v>
      </c>
      <c r="H127" s="24">
        <f t="shared" si="8"/>
        <v>161392.49537148082</v>
      </c>
      <c r="I127" s="36">
        <f t="shared" si="9"/>
        <v>161392.49537148082</v>
      </c>
      <c r="J127" s="19">
        <v>150</v>
      </c>
      <c r="K127" s="19">
        <f>0.02*10*365*7.5</f>
        <v>547.5</v>
      </c>
      <c r="L127" s="19">
        <f>0.08*150*7.5</f>
        <v>90</v>
      </c>
      <c r="M127" s="24">
        <f t="shared" si="10"/>
        <v>127096590.10504115</v>
      </c>
      <c r="N127" s="36">
        <f t="shared" si="11"/>
        <v>127096590.10504115</v>
      </c>
      <c r="O127" s="24">
        <v>717808.34286977118</v>
      </c>
      <c r="P127" s="24">
        <f t="shared" si="12"/>
        <v>10767125.143046567</v>
      </c>
      <c r="Q127" s="23">
        <f t="shared" si="13"/>
        <v>11.8041341970582</v>
      </c>
      <c r="R127" s="23">
        <f t="shared" si="14"/>
        <v>3.9347113990193998</v>
      </c>
      <c r="S127" s="23">
        <f t="shared" si="15"/>
        <v>35.412402591174597</v>
      </c>
    </row>
    <row r="128" spans="1:19" x14ac:dyDescent="0.25">
      <c r="A128" s="19" t="s">
        <v>278</v>
      </c>
      <c r="B128" s="19" t="s">
        <v>277</v>
      </c>
      <c r="C128" s="19" t="s">
        <v>18</v>
      </c>
      <c r="D128" s="19" t="s">
        <v>35</v>
      </c>
      <c r="E128" s="24">
        <v>143662574</v>
      </c>
      <c r="F128" s="21">
        <v>71.320829799999998</v>
      </c>
      <c r="G128" s="21">
        <f>100-F128</f>
        <v>28.679170200000002</v>
      </c>
      <c r="H128" s="24">
        <f t="shared" si="8"/>
        <v>41201234.111160956</v>
      </c>
      <c r="I128" s="36">
        <f t="shared" si="9"/>
        <v>41201234.111160956</v>
      </c>
      <c r="J128" s="19">
        <v>150</v>
      </c>
      <c r="K128" s="19">
        <f>0.02*10*365*7.5</f>
        <v>547.5</v>
      </c>
      <c r="L128" s="19">
        <f>0.08*150*7.5</f>
        <v>90</v>
      </c>
      <c r="M128" s="24">
        <f t="shared" si="10"/>
        <v>32445971862.539253</v>
      </c>
      <c r="N128" s="36">
        <f t="shared" si="11"/>
        <v>32445971862.539253</v>
      </c>
      <c r="O128" s="24">
        <v>79509538709.839935</v>
      </c>
      <c r="P128" s="24">
        <f t="shared" si="12"/>
        <v>1192643080647.5991</v>
      </c>
      <c r="Q128" s="23">
        <f t="shared" si="13"/>
        <v>2.7205097978618427E-2</v>
      </c>
      <c r="R128" s="23">
        <f t="shared" si="14"/>
        <v>9.0683659928728084E-3</v>
      </c>
      <c r="S128" s="23">
        <f t="shared" si="15"/>
        <v>8.1615293935855288E-2</v>
      </c>
    </row>
    <row r="129" spans="1:19" ht="15" customHeight="1" x14ac:dyDescent="0.25">
      <c r="A129" s="19" t="s">
        <v>280</v>
      </c>
      <c r="B129" s="19" t="s">
        <v>279</v>
      </c>
      <c r="C129" s="19" t="s">
        <v>40</v>
      </c>
      <c r="D129" s="19" t="s">
        <v>26</v>
      </c>
      <c r="E129" s="24">
        <v>120664</v>
      </c>
      <c r="F129" s="21" t="s">
        <v>232</v>
      </c>
      <c r="G129" s="21">
        <v>31.129346349193881</v>
      </c>
      <c r="H129" s="24">
        <f t="shared" si="8"/>
        <v>37561.914478791303</v>
      </c>
      <c r="I129" s="36">
        <f t="shared" si="9"/>
        <v>37561.914478791303</v>
      </c>
      <c r="J129" s="19">
        <v>150</v>
      </c>
      <c r="K129" s="19">
        <f>0.02*10*365*7.5</f>
        <v>547.5</v>
      </c>
      <c r="L129" s="19">
        <f>0.08*150*7.5</f>
        <v>90</v>
      </c>
      <c r="M129" s="24">
        <f t="shared" si="10"/>
        <v>29580007.652048152</v>
      </c>
      <c r="N129" s="36">
        <f t="shared" si="11"/>
        <v>29580007.652048152</v>
      </c>
      <c r="O129" s="24">
        <v>122710.4341582333</v>
      </c>
      <c r="P129" s="24">
        <f t="shared" si="12"/>
        <v>1840656.5123734996</v>
      </c>
      <c r="Q129" s="23">
        <f t="shared" si="13"/>
        <v>16.070357208529455</v>
      </c>
      <c r="R129" s="23">
        <f t="shared" si="14"/>
        <v>5.3567857361764846</v>
      </c>
      <c r="S129" s="23">
        <f t="shared" si="15"/>
        <v>48.21107162558836</v>
      </c>
    </row>
    <row r="130" spans="1:19" ht="15" customHeight="1" x14ac:dyDescent="0.25">
      <c r="A130" s="19" t="s">
        <v>282</v>
      </c>
      <c r="B130" s="19" t="s">
        <v>281</v>
      </c>
      <c r="C130" s="19" t="s">
        <v>40</v>
      </c>
      <c r="D130" s="19" t="s">
        <v>19</v>
      </c>
      <c r="E130" s="24">
        <v>3066205</v>
      </c>
      <c r="F130" s="21">
        <v>86.399975089999998</v>
      </c>
      <c r="G130" s="21">
        <f>100-F130</f>
        <v>13.600024910000002</v>
      </c>
      <c r="H130" s="24">
        <f t="shared" si="8"/>
        <v>417004.64379166556</v>
      </c>
      <c r="I130" s="36">
        <f t="shared" si="9"/>
        <v>417004.64379166556</v>
      </c>
      <c r="J130" s="19">
        <v>150</v>
      </c>
      <c r="K130" s="19">
        <f>0.02*10*365*7.5</f>
        <v>547.5</v>
      </c>
      <c r="L130" s="19">
        <f>0.08*150*7.5</f>
        <v>90</v>
      </c>
      <c r="M130" s="24">
        <f t="shared" si="10"/>
        <v>328391156.98593664</v>
      </c>
      <c r="N130" s="36">
        <f t="shared" si="11"/>
        <v>328391156.98593664</v>
      </c>
      <c r="O130" s="24">
        <v>26844920.985309076</v>
      </c>
      <c r="P130" s="24">
        <f t="shared" si="12"/>
        <v>402673814.77963614</v>
      </c>
      <c r="Q130" s="23">
        <f t="shared" si="13"/>
        <v>0.81552647560569391</v>
      </c>
      <c r="R130" s="23">
        <f t="shared" si="14"/>
        <v>0.2718421585352313</v>
      </c>
      <c r="S130" s="23">
        <f t="shared" si="15"/>
        <v>2.4465794268170815</v>
      </c>
    </row>
    <row r="131" spans="1:19" ht="15" customHeight="1" x14ac:dyDescent="0.25">
      <c r="A131" s="31" t="s">
        <v>284</v>
      </c>
      <c r="B131" s="31" t="s">
        <v>283</v>
      </c>
      <c r="C131" s="31" t="s">
        <v>29</v>
      </c>
      <c r="D131" s="31" t="s">
        <v>19</v>
      </c>
      <c r="E131" s="30">
        <v>43857</v>
      </c>
      <c r="F131" s="27">
        <v>85.916849999999997</v>
      </c>
      <c r="G131" s="27">
        <f>100-F131</f>
        <v>14.083150000000003</v>
      </c>
      <c r="H131" s="24">
        <f t="shared" si="8"/>
        <v>6176.4470955000015</v>
      </c>
      <c r="I131" s="36">
        <f t="shared" si="9"/>
        <v>6176.4470955000015</v>
      </c>
      <c r="J131" s="31">
        <v>150</v>
      </c>
      <c r="K131" s="31">
        <f>0.02*10*365*7.5</f>
        <v>547.5</v>
      </c>
      <c r="L131" s="31">
        <f>0.08*150*7.5</f>
        <v>90</v>
      </c>
      <c r="M131" s="24">
        <f t="shared" si="10"/>
        <v>4863952.0877062511</v>
      </c>
      <c r="N131" s="36">
        <f t="shared" si="11"/>
        <v>4863952.0877062511</v>
      </c>
      <c r="O131" s="30">
        <v>0</v>
      </c>
      <c r="P131" s="24">
        <f t="shared" si="12"/>
        <v>0</v>
      </c>
      <c r="Q131" s="23" t="e">
        <f t="shared" si="13"/>
        <v>#DIV/0!</v>
      </c>
      <c r="R131" s="23" t="e">
        <f t="shared" si="14"/>
        <v>#DIV/0!</v>
      </c>
      <c r="S131" s="23" t="e">
        <f t="shared" si="15"/>
        <v>#DIV/0!</v>
      </c>
    </row>
    <row r="132" spans="1:19" ht="15" customHeight="1" x14ac:dyDescent="0.25">
      <c r="A132" s="19" t="s">
        <v>286</v>
      </c>
      <c r="B132" s="19" t="s">
        <v>285</v>
      </c>
      <c r="C132" s="19" t="s">
        <v>40</v>
      </c>
      <c r="D132" s="19" t="s">
        <v>26</v>
      </c>
      <c r="E132" s="24">
        <v>3387631</v>
      </c>
      <c r="F132" s="21">
        <v>86.199974670000003</v>
      </c>
      <c r="G132" s="21">
        <f>100-F132</f>
        <v>13.800025329999997</v>
      </c>
      <c r="H132" s="24">
        <f t="shared" ref="H132:H195" si="16">(G132/100)*E132</f>
        <v>467493.93608693214</v>
      </c>
      <c r="I132" s="36">
        <f t="shared" ref="I132:I195" si="17">IFERROR(H132,0)</f>
        <v>467493.93608693214</v>
      </c>
      <c r="J132" s="19">
        <v>150</v>
      </c>
      <c r="K132" s="19">
        <f>0.02*10*365*7.5</f>
        <v>547.5</v>
      </c>
      <c r="L132" s="19">
        <f>0.08*150*7.5</f>
        <v>90</v>
      </c>
      <c r="M132" s="24">
        <f t="shared" ref="M132:M195" si="18">(J132+K132+L132)*H132</f>
        <v>368151474.66845906</v>
      </c>
      <c r="N132" s="36">
        <f t="shared" ref="N132:N195" si="19">IFERROR(M132,0)</f>
        <v>368151474.66845906</v>
      </c>
      <c r="O132" s="24">
        <v>2578929370.5691776</v>
      </c>
      <c r="P132" s="24">
        <f t="shared" ref="P132:P195" si="20">O132*15</f>
        <v>38683940558.537666</v>
      </c>
      <c r="Q132" s="23">
        <f t="shared" ref="Q132:Q195" si="21">M132/P132</f>
        <v>9.5169072579708251E-3</v>
      </c>
      <c r="R132" s="23">
        <f t="shared" ref="R132:R195" si="22">(M132/2)/(P132*1.5)</f>
        <v>3.1723024193236081E-3</v>
      </c>
      <c r="S132" s="23">
        <f t="shared" ref="S132:S195" si="23">(M132*1.5)/(P132/2)</f>
        <v>2.8550721773912477E-2</v>
      </c>
    </row>
    <row r="133" spans="1:19" ht="15" customHeight="1" x14ac:dyDescent="0.25">
      <c r="A133" s="19" t="s">
        <v>288</v>
      </c>
      <c r="B133" s="19" t="s">
        <v>287</v>
      </c>
      <c r="C133" s="19" t="s">
        <v>18</v>
      </c>
      <c r="D133" s="19" t="s">
        <v>19</v>
      </c>
      <c r="E133" s="24">
        <v>607757</v>
      </c>
      <c r="F133" s="21">
        <v>91.644713820000007</v>
      </c>
      <c r="G133" s="21">
        <f>100-F133</f>
        <v>8.3552861799999931</v>
      </c>
      <c r="H133" s="24">
        <f t="shared" si="16"/>
        <v>50779.836628982557</v>
      </c>
      <c r="I133" s="36">
        <f t="shared" si="17"/>
        <v>50779.836628982557</v>
      </c>
      <c r="J133" s="19">
        <v>150</v>
      </c>
      <c r="K133" s="19">
        <f>0.02*10*365*7.5</f>
        <v>547.5</v>
      </c>
      <c r="L133" s="19">
        <f>0.08*150*7.5</f>
        <v>90</v>
      </c>
      <c r="M133" s="24">
        <f t="shared" si="18"/>
        <v>39989121.345323764</v>
      </c>
      <c r="N133" s="36">
        <f t="shared" si="19"/>
        <v>39989121.345323764</v>
      </c>
      <c r="O133" s="24">
        <v>57851763.840370655</v>
      </c>
      <c r="P133" s="24">
        <f t="shared" si="20"/>
        <v>867776457.60555983</v>
      </c>
      <c r="Q133" s="23">
        <f t="shared" si="21"/>
        <v>4.6082284204465557E-2</v>
      </c>
      <c r="R133" s="23">
        <f t="shared" si="22"/>
        <v>1.5360761401488518E-2</v>
      </c>
      <c r="S133" s="23">
        <f t="shared" si="23"/>
        <v>0.13824685261339667</v>
      </c>
    </row>
    <row r="134" spans="1:19" x14ac:dyDescent="0.25">
      <c r="A134" s="19" t="s">
        <v>290</v>
      </c>
      <c r="B134" s="19" t="s">
        <v>289</v>
      </c>
      <c r="C134" s="19" t="s">
        <v>40</v>
      </c>
      <c r="D134" s="19" t="s">
        <v>22</v>
      </c>
      <c r="E134" s="24">
        <v>39190274</v>
      </c>
      <c r="F134" s="21">
        <v>85</v>
      </c>
      <c r="G134" s="21">
        <f>100-F134</f>
        <v>15</v>
      </c>
      <c r="H134" s="24">
        <f t="shared" si="16"/>
        <v>5878541.0999999996</v>
      </c>
      <c r="I134" s="36">
        <f t="shared" si="17"/>
        <v>5878541.0999999996</v>
      </c>
      <c r="J134" s="19">
        <v>150</v>
      </c>
      <c r="K134" s="19">
        <f>0.02*10*365*7.5</f>
        <v>547.5</v>
      </c>
      <c r="L134" s="19">
        <f>0.08*150*7.5</f>
        <v>90</v>
      </c>
      <c r="M134" s="24">
        <f t="shared" si="18"/>
        <v>4629351116.25</v>
      </c>
      <c r="N134" s="36">
        <f t="shared" si="19"/>
        <v>4629351116.25</v>
      </c>
      <c r="O134" s="24">
        <v>2752538514.3211255</v>
      </c>
      <c r="P134" s="24">
        <f t="shared" si="20"/>
        <v>41288077714.816879</v>
      </c>
      <c r="Q134" s="23">
        <f t="shared" si="21"/>
        <v>0.11212319324298996</v>
      </c>
      <c r="R134" s="23">
        <f t="shared" si="22"/>
        <v>3.7374397747663317E-2</v>
      </c>
      <c r="S134" s="23">
        <f t="shared" si="23"/>
        <v>0.33636957972896986</v>
      </c>
    </row>
    <row r="135" spans="1:19" ht="15" customHeight="1" x14ac:dyDescent="0.25">
      <c r="A135" s="19" t="s">
        <v>292</v>
      </c>
      <c r="B135" s="19" t="s">
        <v>291</v>
      </c>
      <c r="C135" s="19" t="s">
        <v>14</v>
      </c>
      <c r="D135" s="19" t="s">
        <v>32</v>
      </c>
      <c r="E135" s="24">
        <v>38875906</v>
      </c>
      <c r="F135" s="21">
        <v>1.7749999999999999</v>
      </c>
      <c r="G135" s="21">
        <f>100-F135</f>
        <v>98.224999999999994</v>
      </c>
      <c r="H135" s="24">
        <f t="shared" si="16"/>
        <v>38185858.668499999</v>
      </c>
      <c r="I135" s="36">
        <f t="shared" si="17"/>
        <v>38185858.668499999</v>
      </c>
      <c r="J135" s="19">
        <v>150</v>
      </c>
      <c r="K135" s="19">
        <f>0.02*10*365*7.5</f>
        <v>547.5</v>
      </c>
      <c r="L135" s="19">
        <f>0.08*150*7.5</f>
        <v>90</v>
      </c>
      <c r="M135" s="24">
        <f t="shared" si="18"/>
        <v>30071363701.443748</v>
      </c>
      <c r="N135" s="36">
        <f t="shared" si="19"/>
        <v>30071363701.443748</v>
      </c>
      <c r="O135" s="24">
        <v>1468383419.1173403</v>
      </c>
      <c r="P135" s="24">
        <f t="shared" si="20"/>
        <v>22025751286.760105</v>
      </c>
      <c r="Q135" s="23">
        <f t="shared" si="21"/>
        <v>1.3652820877678729</v>
      </c>
      <c r="R135" s="23">
        <f t="shared" si="22"/>
        <v>0.4550940292559576</v>
      </c>
      <c r="S135" s="23">
        <f t="shared" si="23"/>
        <v>4.0958462633036179</v>
      </c>
    </row>
    <row r="136" spans="1:19" x14ac:dyDescent="0.25">
      <c r="A136" s="19" t="s">
        <v>294</v>
      </c>
      <c r="B136" s="19" t="s">
        <v>293</v>
      </c>
      <c r="C136" s="19" t="s">
        <v>14</v>
      </c>
      <c r="D136" s="19" t="s">
        <v>26</v>
      </c>
      <c r="E136" s="24">
        <v>58697747</v>
      </c>
      <c r="F136" s="21">
        <v>3.1</v>
      </c>
      <c r="G136" s="21">
        <f>100-F136</f>
        <v>96.9</v>
      </c>
      <c r="H136" s="24">
        <f t="shared" si="16"/>
        <v>56878116.843000002</v>
      </c>
      <c r="I136" s="36">
        <f t="shared" si="17"/>
        <v>56878116.843000002</v>
      </c>
      <c r="J136" s="19">
        <v>150</v>
      </c>
      <c r="K136" s="19">
        <f>0.02*10*365*7.5</f>
        <v>547.5</v>
      </c>
      <c r="L136" s="19">
        <f>0.08*150*7.5</f>
        <v>90</v>
      </c>
      <c r="M136" s="24">
        <f t="shared" si="18"/>
        <v>44791517013.862503</v>
      </c>
      <c r="N136" s="36">
        <f t="shared" si="19"/>
        <v>44791517013.862503</v>
      </c>
      <c r="O136" s="24" t="s">
        <v>232</v>
      </c>
      <c r="P136" s="24" t="e">
        <f t="shared" si="20"/>
        <v>#VALUE!</v>
      </c>
      <c r="Q136" s="23" t="e">
        <f t="shared" si="21"/>
        <v>#VALUE!</v>
      </c>
      <c r="R136" s="23" t="e">
        <f t="shared" si="22"/>
        <v>#VALUE!</v>
      </c>
      <c r="S136" s="23" t="e">
        <f t="shared" si="23"/>
        <v>#VALUE!</v>
      </c>
    </row>
    <row r="137" spans="1:19" ht="15" customHeight="1" x14ac:dyDescent="0.25">
      <c r="A137" s="19" t="s">
        <v>296</v>
      </c>
      <c r="B137" s="19" t="s">
        <v>295</v>
      </c>
      <c r="C137" s="19" t="s">
        <v>18</v>
      </c>
      <c r="D137" s="19" t="s">
        <v>32</v>
      </c>
      <c r="E137" s="24">
        <v>3042197</v>
      </c>
      <c r="F137" s="21">
        <v>67.032540403657137</v>
      </c>
      <c r="G137" s="21">
        <f>100-F137</f>
        <v>32.967459596342863</v>
      </c>
      <c r="H137" s="24">
        <f t="shared" si="16"/>
        <v>1002935.0668161546</v>
      </c>
      <c r="I137" s="36">
        <f t="shared" si="17"/>
        <v>1002935.0668161546</v>
      </c>
      <c r="J137" s="19">
        <v>150</v>
      </c>
      <c r="K137" s="19">
        <f>0.02*10*365*7.5</f>
        <v>547.5</v>
      </c>
      <c r="L137" s="19">
        <f>0.08*150*7.5</f>
        <v>90</v>
      </c>
      <c r="M137" s="24">
        <f t="shared" si="18"/>
        <v>789811365.1177218</v>
      </c>
      <c r="N137" s="36">
        <f t="shared" si="19"/>
        <v>789811365.1177218</v>
      </c>
      <c r="O137" s="24">
        <v>322584332.15443879</v>
      </c>
      <c r="P137" s="24">
        <f t="shared" si="20"/>
        <v>4838764982.3165817</v>
      </c>
      <c r="Q137" s="23">
        <f t="shared" si="21"/>
        <v>0.16322581650568113</v>
      </c>
      <c r="R137" s="23">
        <f t="shared" si="22"/>
        <v>5.4408605501893713E-2</v>
      </c>
      <c r="S137" s="23">
        <f t="shared" si="23"/>
        <v>0.48967744951704345</v>
      </c>
    </row>
    <row r="138" spans="1:19" ht="15" customHeight="1" x14ac:dyDescent="0.25">
      <c r="A138" s="19" t="s">
        <v>298</v>
      </c>
      <c r="B138" s="19" t="s">
        <v>297</v>
      </c>
      <c r="C138" s="19" t="s">
        <v>14</v>
      </c>
      <c r="D138" s="19" t="s">
        <v>15</v>
      </c>
      <c r="E138" s="24">
        <v>32853228.000000004</v>
      </c>
      <c r="F138" s="21">
        <v>34.722751322737302</v>
      </c>
      <c r="G138" s="21">
        <f>100-F138</f>
        <v>65.277248677262691</v>
      </c>
      <c r="H138" s="24">
        <f t="shared" si="16"/>
        <v>21445683.340068098</v>
      </c>
      <c r="I138" s="36">
        <f t="shared" si="17"/>
        <v>21445683.340068098</v>
      </c>
      <c r="J138" s="19">
        <v>150</v>
      </c>
      <c r="K138" s="19">
        <f>0.02*10*365*7.5</f>
        <v>547.5</v>
      </c>
      <c r="L138" s="19">
        <f>0.08*150*7.5</f>
        <v>90</v>
      </c>
      <c r="M138" s="24">
        <f t="shared" si="18"/>
        <v>16888475630.303627</v>
      </c>
      <c r="N138" s="36">
        <f t="shared" si="19"/>
        <v>16888475630.303627</v>
      </c>
      <c r="O138" s="24">
        <v>1089428122.9560325</v>
      </c>
      <c r="P138" s="24">
        <f t="shared" si="20"/>
        <v>16341421844.340488</v>
      </c>
      <c r="Q138" s="23">
        <f t="shared" si="21"/>
        <v>1.0334765108675412</v>
      </c>
      <c r="R138" s="23">
        <f t="shared" si="22"/>
        <v>0.34449217028918033</v>
      </c>
      <c r="S138" s="23">
        <f t="shared" si="23"/>
        <v>3.1004295326026234</v>
      </c>
    </row>
    <row r="139" spans="1:19" x14ac:dyDescent="0.25">
      <c r="A139" s="19" t="s">
        <v>300</v>
      </c>
      <c r="B139" s="19" t="s">
        <v>299</v>
      </c>
      <c r="C139" s="19" t="s">
        <v>45</v>
      </c>
      <c r="D139" s="19" t="s">
        <v>19</v>
      </c>
      <c r="E139" s="24">
        <v>17268589</v>
      </c>
      <c r="F139" s="21">
        <v>94.891853159999997</v>
      </c>
      <c r="G139" s="21">
        <f>100-F139</f>
        <v>5.1081468400000034</v>
      </c>
      <c r="H139" s="24">
        <f t="shared" si="16"/>
        <v>882104.88331608812</v>
      </c>
      <c r="I139" s="36">
        <f t="shared" si="17"/>
        <v>882104.88331608812</v>
      </c>
      <c r="J139" s="19">
        <v>150</v>
      </c>
      <c r="K139" s="19">
        <f>0.02*10*365*7.5</f>
        <v>547.5</v>
      </c>
      <c r="L139" s="19">
        <f>0.08*150*7.5</f>
        <v>90</v>
      </c>
      <c r="M139" s="24">
        <f t="shared" si="18"/>
        <v>694657595.61141944</v>
      </c>
      <c r="N139" s="36">
        <f t="shared" si="19"/>
        <v>694657595.61141944</v>
      </c>
      <c r="O139" s="24">
        <v>9858835201.9990978</v>
      </c>
      <c r="P139" s="24">
        <f t="shared" si="20"/>
        <v>147882528029.98648</v>
      </c>
      <c r="Q139" s="23">
        <f t="shared" si="21"/>
        <v>4.6973608367755389E-3</v>
      </c>
      <c r="R139" s="23">
        <f t="shared" si="22"/>
        <v>1.5657869455918464E-3</v>
      </c>
      <c r="S139" s="23">
        <f t="shared" si="23"/>
        <v>1.4092082510326618E-2</v>
      </c>
    </row>
    <row r="140" spans="1:19" ht="15" customHeight="1" x14ac:dyDescent="0.25">
      <c r="A140" s="19" t="s">
        <v>302</v>
      </c>
      <c r="B140" s="19" t="s">
        <v>301</v>
      </c>
      <c r="C140" s="19" t="s">
        <v>29</v>
      </c>
      <c r="D140" s="19" t="s">
        <v>26</v>
      </c>
      <c r="E140" s="24">
        <v>311623</v>
      </c>
      <c r="F140" s="21">
        <v>44</v>
      </c>
      <c r="G140" s="21">
        <f>100-F140</f>
        <v>56</v>
      </c>
      <c r="H140" s="24">
        <f t="shared" si="16"/>
        <v>174508.88</v>
      </c>
      <c r="I140" s="36">
        <f t="shared" si="17"/>
        <v>174508.88</v>
      </c>
      <c r="J140" s="19">
        <v>150</v>
      </c>
      <c r="K140" s="19">
        <f>0.02*10*365*7.5</f>
        <v>547.5</v>
      </c>
      <c r="L140" s="19">
        <f>0.08*150*7.5</f>
        <v>90</v>
      </c>
      <c r="M140" s="24">
        <f t="shared" si="18"/>
        <v>137425743</v>
      </c>
      <c r="N140" s="36">
        <f t="shared" si="19"/>
        <v>137425743</v>
      </c>
      <c r="O140" s="24" t="s">
        <v>232</v>
      </c>
      <c r="P140" s="24" t="e">
        <f t="shared" si="20"/>
        <v>#VALUE!</v>
      </c>
      <c r="Q140" s="23" t="e">
        <f t="shared" si="21"/>
        <v>#VALUE!</v>
      </c>
      <c r="R140" s="23" t="e">
        <f t="shared" si="22"/>
        <v>#VALUE!</v>
      </c>
      <c r="S140" s="23" t="e">
        <f t="shared" si="23"/>
        <v>#VALUE!</v>
      </c>
    </row>
    <row r="141" spans="1:19" ht="15" customHeight="1" x14ac:dyDescent="0.25">
      <c r="A141" s="19" t="s">
        <v>304</v>
      </c>
      <c r="B141" s="19" t="s">
        <v>303</v>
      </c>
      <c r="C141" s="19" t="s">
        <v>45</v>
      </c>
      <c r="D141" s="19" t="s">
        <v>26</v>
      </c>
      <c r="E141" s="24">
        <v>5208035</v>
      </c>
      <c r="F141" s="21">
        <v>93.15</v>
      </c>
      <c r="G141" s="21">
        <f>100-F141</f>
        <v>6.8499999999999943</v>
      </c>
      <c r="H141" s="24">
        <f t="shared" si="16"/>
        <v>356750.39749999973</v>
      </c>
      <c r="I141" s="36">
        <f t="shared" si="17"/>
        <v>356750.39749999973</v>
      </c>
      <c r="J141" s="19">
        <v>150</v>
      </c>
      <c r="K141" s="19">
        <f>0.02*10*365*7.5</f>
        <v>547.5</v>
      </c>
      <c r="L141" s="19">
        <f>0.08*150*7.5</f>
        <v>90</v>
      </c>
      <c r="M141" s="24">
        <f t="shared" si="18"/>
        <v>280940938.03124976</v>
      </c>
      <c r="N141" s="36">
        <f t="shared" si="19"/>
        <v>280940938.03124976</v>
      </c>
      <c r="O141" s="24">
        <v>3454391570.3166966</v>
      </c>
      <c r="P141" s="24">
        <f t="shared" si="20"/>
        <v>51815873554.75045</v>
      </c>
      <c r="Q141" s="23">
        <f t="shared" si="21"/>
        <v>5.4219087464461605E-3</v>
      </c>
      <c r="R141" s="23">
        <f t="shared" si="22"/>
        <v>1.8073029154820534E-3</v>
      </c>
      <c r="S141" s="23">
        <f t="shared" si="23"/>
        <v>1.6265726239338481E-2</v>
      </c>
    </row>
    <row r="142" spans="1:19" x14ac:dyDescent="0.25">
      <c r="A142" s="19" t="s">
        <v>306</v>
      </c>
      <c r="B142" s="19" t="s">
        <v>305</v>
      </c>
      <c r="C142" s="19" t="s">
        <v>40</v>
      </c>
      <c r="D142" s="19" t="s">
        <v>35</v>
      </c>
      <c r="E142" s="24">
        <v>7390914</v>
      </c>
      <c r="F142" s="21">
        <v>62.033791839999999</v>
      </c>
      <c r="G142" s="21">
        <f>100-F142</f>
        <v>37.966208160000001</v>
      </c>
      <c r="H142" s="24">
        <f t="shared" si="16"/>
        <v>2806049.7941665826</v>
      </c>
      <c r="I142" s="36">
        <f t="shared" si="17"/>
        <v>2806049.7941665826</v>
      </c>
      <c r="J142" s="19">
        <v>150</v>
      </c>
      <c r="K142" s="19">
        <f>0.02*10*365*7.5</f>
        <v>547.5</v>
      </c>
      <c r="L142" s="19">
        <f>0.08*150*7.5</f>
        <v>90</v>
      </c>
      <c r="M142" s="24">
        <f t="shared" si="18"/>
        <v>2209764212.9061837</v>
      </c>
      <c r="N142" s="36">
        <f t="shared" si="19"/>
        <v>2209764212.9061837</v>
      </c>
      <c r="O142" s="24">
        <v>499234155.04849941</v>
      </c>
      <c r="P142" s="24">
        <f t="shared" si="20"/>
        <v>7488512325.7274914</v>
      </c>
      <c r="Q142" s="23">
        <f t="shared" si="21"/>
        <v>0.29508721048830089</v>
      </c>
      <c r="R142" s="23">
        <f t="shared" si="22"/>
        <v>9.8362403496100301E-2</v>
      </c>
      <c r="S142" s="23">
        <f t="shared" si="23"/>
        <v>0.88526163146490267</v>
      </c>
    </row>
    <row r="143" spans="1:19" ht="15" customHeight="1" x14ac:dyDescent="0.25">
      <c r="A143" s="19" t="s">
        <v>308</v>
      </c>
      <c r="B143" s="19" t="s">
        <v>307</v>
      </c>
      <c r="C143" s="19" t="s">
        <v>14</v>
      </c>
      <c r="D143" s="19" t="s">
        <v>32</v>
      </c>
      <c r="E143" s="24">
        <v>34512751</v>
      </c>
      <c r="F143" s="21">
        <v>36.546748251748255</v>
      </c>
      <c r="G143" s="21">
        <f>100-F143</f>
        <v>63.453251748251745</v>
      </c>
      <c r="H143" s="24">
        <f t="shared" si="16"/>
        <v>21899462.777277272</v>
      </c>
      <c r="I143" s="36">
        <f t="shared" si="17"/>
        <v>21899462.777277272</v>
      </c>
      <c r="J143" s="19">
        <v>150</v>
      </c>
      <c r="K143" s="19">
        <f>0.02*10*365*7.5</f>
        <v>547.5</v>
      </c>
      <c r="L143" s="19">
        <f>0.08*150*7.5</f>
        <v>90</v>
      </c>
      <c r="M143" s="24">
        <f t="shared" si="18"/>
        <v>17245826937.10585</v>
      </c>
      <c r="N143" s="36">
        <f t="shared" si="19"/>
        <v>17245826937.10585</v>
      </c>
      <c r="O143" s="24">
        <v>616279880.15976942</v>
      </c>
      <c r="P143" s="24">
        <f t="shared" si="20"/>
        <v>9244198202.3965416</v>
      </c>
      <c r="Q143" s="23">
        <f t="shared" si="21"/>
        <v>1.8655838569790619</v>
      </c>
      <c r="R143" s="23">
        <f t="shared" si="22"/>
        <v>0.62186128565968724</v>
      </c>
      <c r="S143" s="23">
        <f t="shared" si="23"/>
        <v>5.5967515709371858</v>
      </c>
    </row>
    <row r="144" spans="1:19" ht="15" customHeight="1" x14ac:dyDescent="0.25">
      <c r="A144" s="19" t="s">
        <v>310</v>
      </c>
      <c r="B144" s="19" t="s">
        <v>309</v>
      </c>
      <c r="C144" s="19" t="s">
        <v>40</v>
      </c>
      <c r="D144" s="19" t="s">
        <v>32</v>
      </c>
      <c r="E144" s="24">
        <v>273120384</v>
      </c>
      <c r="F144" s="21">
        <v>59.7</v>
      </c>
      <c r="G144" s="21">
        <f>100-F144</f>
        <v>40.299999999999997</v>
      </c>
      <c r="H144" s="24">
        <f t="shared" si="16"/>
        <v>110067514.75199999</v>
      </c>
      <c r="I144" s="36">
        <f t="shared" si="17"/>
        <v>110067514.75199999</v>
      </c>
      <c r="J144" s="19">
        <v>150</v>
      </c>
      <c r="K144" s="19">
        <f>0.02*10*365*7.5</f>
        <v>547.5</v>
      </c>
      <c r="L144" s="19">
        <f>0.08*150*7.5</f>
        <v>90</v>
      </c>
      <c r="M144" s="24">
        <f t="shared" si="18"/>
        <v>86678167867.199997</v>
      </c>
      <c r="N144" s="36">
        <f t="shared" si="19"/>
        <v>86678167867.199997</v>
      </c>
      <c r="O144" s="24">
        <v>105572259626.5011</v>
      </c>
      <c r="P144" s="24">
        <f t="shared" si="20"/>
        <v>1583583894397.5166</v>
      </c>
      <c r="Q144" s="23">
        <f t="shared" si="21"/>
        <v>5.4735444186982715E-2</v>
      </c>
      <c r="R144" s="23">
        <f t="shared" si="22"/>
        <v>1.8245148062327569E-2</v>
      </c>
      <c r="S144" s="23">
        <f t="shared" si="23"/>
        <v>0.16420633256094813</v>
      </c>
    </row>
    <row r="145" spans="1:19" ht="15" customHeight="1" x14ac:dyDescent="0.25">
      <c r="A145" s="19" t="s">
        <v>312</v>
      </c>
      <c r="B145" s="19" t="s">
        <v>311</v>
      </c>
      <c r="C145" s="19" t="s">
        <v>29</v>
      </c>
      <c r="D145" s="19" t="s">
        <v>26</v>
      </c>
      <c r="E145" s="24">
        <v>56623</v>
      </c>
      <c r="F145" s="21">
        <v>71.36</v>
      </c>
      <c r="G145" s="21">
        <f>100-F145</f>
        <v>28.64</v>
      </c>
      <c r="H145" s="24">
        <f t="shared" si="16"/>
        <v>16216.8272</v>
      </c>
      <c r="I145" s="36">
        <f t="shared" si="17"/>
        <v>16216.8272</v>
      </c>
      <c r="J145" s="19">
        <v>150</v>
      </c>
      <c r="K145" s="19">
        <f>0.02*10*365*7.5</f>
        <v>547.5</v>
      </c>
      <c r="L145" s="19">
        <f>0.08*150*7.5</f>
        <v>90</v>
      </c>
      <c r="M145" s="24">
        <f t="shared" si="18"/>
        <v>12770751.42</v>
      </c>
      <c r="N145" s="36">
        <f t="shared" si="19"/>
        <v>12770751.42</v>
      </c>
      <c r="O145" s="24" t="s">
        <v>232</v>
      </c>
      <c r="P145" s="24" t="e">
        <f t="shared" si="20"/>
        <v>#VALUE!</v>
      </c>
      <c r="Q145" s="23" t="e">
        <f t="shared" si="21"/>
        <v>#VALUE!</v>
      </c>
      <c r="R145" s="23" t="e">
        <f t="shared" si="22"/>
        <v>#VALUE!</v>
      </c>
      <c r="S145" s="23" t="e">
        <f t="shared" si="23"/>
        <v>#VALUE!</v>
      </c>
    </row>
    <row r="146" spans="1:19" s="31" customFormat="1" ht="15" customHeight="1" x14ac:dyDescent="0.25">
      <c r="A146" s="19" t="s">
        <v>314</v>
      </c>
      <c r="B146" s="19" t="s">
        <v>313</v>
      </c>
      <c r="C146" s="19" t="s">
        <v>45</v>
      </c>
      <c r="D146" s="19" t="s">
        <v>19</v>
      </c>
      <c r="E146" s="24">
        <v>5837893</v>
      </c>
      <c r="F146" s="21">
        <v>100</v>
      </c>
      <c r="G146" s="21">
        <f>100-F146</f>
        <v>0</v>
      </c>
      <c r="H146" s="24">
        <f t="shared" si="16"/>
        <v>0</v>
      </c>
      <c r="I146" s="36">
        <f t="shared" si="17"/>
        <v>0</v>
      </c>
      <c r="J146" s="19">
        <v>150</v>
      </c>
      <c r="K146" s="19">
        <f>0.02*10*365*7.5</f>
        <v>547.5</v>
      </c>
      <c r="L146" s="19">
        <f>0.08*150*7.5</f>
        <v>90</v>
      </c>
      <c r="M146" s="24">
        <f t="shared" si="18"/>
        <v>0</v>
      </c>
      <c r="N146" s="36">
        <f t="shared" si="19"/>
        <v>0</v>
      </c>
      <c r="O146" s="24">
        <v>55897649769.889412</v>
      </c>
      <c r="P146" s="24">
        <f t="shared" si="20"/>
        <v>838464746548.34119</v>
      </c>
      <c r="Q146" s="23">
        <f t="shared" si="21"/>
        <v>0</v>
      </c>
      <c r="R146" s="23">
        <f t="shared" si="22"/>
        <v>0</v>
      </c>
      <c r="S146" s="23">
        <f t="shared" si="23"/>
        <v>0</v>
      </c>
    </row>
    <row r="147" spans="1:19" ht="15" customHeight="1" x14ac:dyDescent="0.25">
      <c r="A147" s="19" t="s">
        <v>316</v>
      </c>
      <c r="B147" s="19" t="s">
        <v>315</v>
      </c>
      <c r="C147" s="19" t="s">
        <v>29</v>
      </c>
      <c r="D147" s="19" t="s">
        <v>22</v>
      </c>
      <c r="E147" s="24">
        <v>4920265</v>
      </c>
      <c r="F147" s="21">
        <v>96.9</v>
      </c>
      <c r="G147" s="21">
        <f>100-F147</f>
        <v>3.0999999999999943</v>
      </c>
      <c r="H147" s="24">
        <f t="shared" si="16"/>
        <v>152528.21499999973</v>
      </c>
      <c r="I147" s="36">
        <f t="shared" si="17"/>
        <v>152528.21499999973</v>
      </c>
      <c r="J147" s="19">
        <v>150</v>
      </c>
      <c r="K147" s="19">
        <f>0.02*10*365*7.5</f>
        <v>547.5</v>
      </c>
      <c r="L147" s="19">
        <f>0.08*150*7.5</f>
        <v>90</v>
      </c>
      <c r="M147" s="24">
        <f t="shared" si="18"/>
        <v>120115969.31249979</v>
      </c>
      <c r="N147" s="36">
        <f t="shared" si="19"/>
        <v>120115969.31249979</v>
      </c>
      <c r="O147" s="24">
        <v>24681714780.510975</v>
      </c>
      <c r="P147" s="24">
        <f t="shared" si="20"/>
        <v>370225721707.66461</v>
      </c>
      <c r="Q147" s="23">
        <f t="shared" si="21"/>
        <v>3.2443982756915263E-4</v>
      </c>
      <c r="R147" s="23">
        <f t="shared" si="22"/>
        <v>1.0814660918971753E-4</v>
      </c>
      <c r="S147" s="23">
        <f t="shared" si="23"/>
        <v>9.7331948270745793E-4</v>
      </c>
    </row>
    <row r="148" spans="1:19" s="31" customFormat="1" ht="15" customHeight="1" x14ac:dyDescent="0.25">
      <c r="A148" s="19" t="s">
        <v>318</v>
      </c>
      <c r="B148" s="19" t="s">
        <v>317</v>
      </c>
      <c r="C148" s="19" t="s">
        <v>40</v>
      </c>
      <c r="D148" s="19" t="s">
        <v>15</v>
      </c>
      <c r="E148" s="24">
        <v>231743898</v>
      </c>
      <c r="F148" s="21" t="s">
        <v>232</v>
      </c>
      <c r="G148" s="21">
        <v>48.28744973545254</v>
      </c>
      <c r="H148" s="24">
        <f t="shared" si="16"/>
        <v>111903218.26172841</v>
      </c>
      <c r="I148" s="36">
        <f t="shared" si="17"/>
        <v>111903218.26172841</v>
      </c>
      <c r="J148" s="19">
        <v>150</v>
      </c>
      <c r="K148" s="19">
        <f>0.02*10*365*7.5</f>
        <v>547.5</v>
      </c>
      <c r="L148" s="19">
        <f>0.08*150*7.5</f>
        <v>90</v>
      </c>
      <c r="M148" s="24">
        <f t="shared" si="18"/>
        <v>88123784381.111115</v>
      </c>
      <c r="N148" s="36">
        <f t="shared" si="19"/>
        <v>88123784381.111115</v>
      </c>
      <c r="O148" s="24">
        <v>8516083273.6478567</v>
      </c>
      <c r="P148" s="24">
        <f t="shared" si="20"/>
        <v>127741249104.71785</v>
      </c>
      <c r="Q148" s="23">
        <f t="shared" si="21"/>
        <v>0.68986161477777852</v>
      </c>
      <c r="R148" s="23">
        <f t="shared" si="22"/>
        <v>0.22995387159259284</v>
      </c>
      <c r="S148" s="23">
        <f t="shared" si="23"/>
        <v>2.0695848443333356</v>
      </c>
    </row>
    <row r="149" spans="1:19" ht="15" customHeight="1" x14ac:dyDescent="0.25">
      <c r="A149" s="31" t="s">
        <v>320</v>
      </c>
      <c r="B149" s="31" t="s">
        <v>319</v>
      </c>
      <c r="C149" s="31" t="s">
        <v>18</v>
      </c>
      <c r="D149" s="31" t="s">
        <v>26</v>
      </c>
      <c r="E149" s="30">
        <v>24836</v>
      </c>
      <c r="F149" s="27">
        <v>88.45</v>
      </c>
      <c r="G149" s="27">
        <f>100-F149</f>
        <v>11.549999999999997</v>
      </c>
      <c r="H149" s="24">
        <f t="shared" si="16"/>
        <v>2868.5579999999995</v>
      </c>
      <c r="I149" s="36">
        <f t="shared" si="17"/>
        <v>2868.5579999999995</v>
      </c>
      <c r="J149" s="31">
        <v>150</v>
      </c>
      <c r="K149" s="31">
        <f>0.02*10*365*7.5</f>
        <v>547.5</v>
      </c>
      <c r="L149" s="31">
        <f>0.08*150*7.5</f>
        <v>90</v>
      </c>
      <c r="M149" s="24">
        <f t="shared" si="18"/>
        <v>2258989.4249999998</v>
      </c>
      <c r="N149" s="36">
        <f t="shared" si="19"/>
        <v>2258989.4249999998</v>
      </c>
      <c r="O149" s="30">
        <v>0</v>
      </c>
      <c r="P149" s="24">
        <f t="shared" si="20"/>
        <v>0</v>
      </c>
      <c r="Q149" s="23" t="e">
        <f t="shared" si="21"/>
        <v>#DIV/0!</v>
      </c>
      <c r="R149" s="23" t="e">
        <f t="shared" si="22"/>
        <v>#DIV/0!</v>
      </c>
      <c r="S149" s="23" t="e">
        <f t="shared" si="23"/>
        <v>#DIV/0!</v>
      </c>
    </row>
    <row r="150" spans="1:19" ht="15" customHeight="1" x14ac:dyDescent="0.25">
      <c r="A150" s="19" t="s">
        <v>322</v>
      </c>
      <c r="B150" s="19" t="s">
        <v>321</v>
      </c>
      <c r="C150" s="19" t="s">
        <v>18</v>
      </c>
      <c r="D150" s="19" t="s">
        <v>35</v>
      </c>
      <c r="E150" s="24">
        <v>4882047</v>
      </c>
      <c r="F150" s="21">
        <v>64.2</v>
      </c>
      <c r="G150" s="21">
        <f>100-F150</f>
        <v>35.799999999999997</v>
      </c>
      <c r="H150" s="24">
        <f t="shared" si="16"/>
        <v>1747772.8259999999</v>
      </c>
      <c r="I150" s="36">
        <f t="shared" si="17"/>
        <v>1747772.8259999999</v>
      </c>
      <c r="J150" s="19">
        <v>150</v>
      </c>
      <c r="K150" s="19">
        <f>0.02*10*365*7.5</f>
        <v>547.5</v>
      </c>
      <c r="L150" s="19">
        <f>0.08*150*7.5</f>
        <v>90</v>
      </c>
      <c r="M150" s="24">
        <f t="shared" si="18"/>
        <v>1376371100.4749999</v>
      </c>
      <c r="N150" s="36">
        <f t="shared" si="19"/>
        <v>1376371100.4749999</v>
      </c>
      <c r="O150" s="24">
        <v>223144062.80733454</v>
      </c>
      <c r="P150" s="24">
        <f t="shared" si="20"/>
        <v>3347160942.1100183</v>
      </c>
      <c r="Q150" s="23">
        <f t="shared" si="21"/>
        <v>0.41120553336982618</v>
      </c>
      <c r="R150" s="23">
        <f t="shared" si="22"/>
        <v>0.13706851112327539</v>
      </c>
      <c r="S150" s="23">
        <f t="shared" si="23"/>
        <v>1.2336166001094786</v>
      </c>
    </row>
    <row r="151" spans="1:19" ht="15" customHeight="1" x14ac:dyDescent="0.25">
      <c r="A151" s="19" t="s">
        <v>324</v>
      </c>
      <c r="B151" s="19" t="s">
        <v>323</v>
      </c>
      <c r="C151" s="19" t="s">
        <v>40</v>
      </c>
      <c r="D151" s="19" t="s">
        <v>26</v>
      </c>
      <c r="E151" s="24">
        <v>10044486</v>
      </c>
      <c r="F151" s="21" t="s">
        <v>232</v>
      </c>
      <c r="G151" s="21">
        <v>31.129346349193881</v>
      </c>
      <c r="H151" s="24">
        <f t="shared" si="16"/>
        <v>3126782.8359362907</v>
      </c>
      <c r="I151" s="36">
        <f t="shared" si="17"/>
        <v>3126782.8359362907</v>
      </c>
      <c r="J151" s="19">
        <v>150</v>
      </c>
      <c r="K151" s="19">
        <f>0.02*10*365*7.5</f>
        <v>547.5</v>
      </c>
      <c r="L151" s="19">
        <f>0.08*150*7.5</f>
        <v>90</v>
      </c>
      <c r="M151" s="24">
        <f t="shared" si="18"/>
        <v>2462341483.299829</v>
      </c>
      <c r="N151" s="36">
        <f t="shared" si="19"/>
        <v>2462341483.299829</v>
      </c>
      <c r="O151" s="24">
        <v>4102225109.4098563</v>
      </c>
      <c r="P151" s="24">
        <f t="shared" si="20"/>
        <v>61533376641.147842</v>
      </c>
      <c r="Q151" s="23">
        <f t="shared" si="21"/>
        <v>4.0016355638335672E-2</v>
      </c>
      <c r="R151" s="23">
        <f t="shared" si="22"/>
        <v>1.3338785212778556E-2</v>
      </c>
      <c r="S151" s="23">
        <f t="shared" si="23"/>
        <v>0.12004906691500701</v>
      </c>
    </row>
    <row r="152" spans="1:19" ht="15" customHeight="1" x14ac:dyDescent="0.25">
      <c r="A152" s="19" t="s">
        <v>326</v>
      </c>
      <c r="B152" s="19" t="s">
        <v>325</v>
      </c>
      <c r="C152" s="19" t="s">
        <v>40</v>
      </c>
      <c r="D152" s="19" t="s">
        <v>35</v>
      </c>
      <c r="E152" s="24">
        <v>8693133</v>
      </c>
      <c r="F152" s="21">
        <v>85.069687020000003</v>
      </c>
      <c r="G152" s="21">
        <f>100-F152</f>
        <v>14.930312979999997</v>
      </c>
      <c r="H152" s="24">
        <f t="shared" si="16"/>
        <v>1297911.964667663</v>
      </c>
      <c r="I152" s="36">
        <f t="shared" si="17"/>
        <v>1297911.964667663</v>
      </c>
      <c r="J152" s="19">
        <v>150</v>
      </c>
      <c r="K152" s="19">
        <f>0.02*10*365*7.5</f>
        <v>547.5</v>
      </c>
      <c r="L152" s="19">
        <f>0.08*150*7.5</f>
        <v>90</v>
      </c>
      <c r="M152" s="24">
        <f t="shared" si="18"/>
        <v>1022105672.1757846</v>
      </c>
      <c r="N152" s="36">
        <f t="shared" si="19"/>
        <v>1022105672.1757846</v>
      </c>
      <c r="O152" s="24">
        <v>1106511912.5295491</v>
      </c>
      <c r="P152" s="24">
        <f t="shared" si="20"/>
        <v>16597678687.943237</v>
      </c>
      <c r="Q152" s="23">
        <f t="shared" si="21"/>
        <v>6.1581242256379801E-2</v>
      </c>
      <c r="R152" s="23">
        <f t="shared" si="22"/>
        <v>2.05270807521266E-2</v>
      </c>
      <c r="S152" s="23">
        <f t="shared" si="23"/>
        <v>0.18474372676913942</v>
      </c>
    </row>
    <row r="153" spans="1:19" ht="15" customHeight="1" x14ac:dyDescent="0.25">
      <c r="A153" s="19" t="s">
        <v>328</v>
      </c>
      <c r="B153" s="19" t="s">
        <v>327</v>
      </c>
      <c r="C153" s="19" t="s">
        <v>18</v>
      </c>
      <c r="D153" s="19" t="s">
        <v>35</v>
      </c>
      <c r="E153" s="24">
        <v>36513996</v>
      </c>
      <c r="F153" s="21">
        <v>73.054560190000004</v>
      </c>
      <c r="G153" s="21">
        <f>100-F153</f>
        <v>26.945439809999996</v>
      </c>
      <c r="H153" s="24">
        <f t="shared" si="16"/>
        <v>9838856.8144058045</v>
      </c>
      <c r="I153" s="36">
        <f t="shared" si="17"/>
        <v>9838856.8144058045</v>
      </c>
      <c r="J153" s="19">
        <v>150</v>
      </c>
      <c r="K153" s="19">
        <f>0.02*10*365*7.5</f>
        <v>547.5</v>
      </c>
      <c r="L153" s="19">
        <f>0.08*150*7.5</f>
        <v>90</v>
      </c>
      <c r="M153" s="24">
        <f t="shared" si="18"/>
        <v>7748099741.3445711</v>
      </c>
      <c r="N153" s="36">
        <f t="shared" si="19"/>
        <v>7748099741.3445711</v>
      </c>
      <c r="O153" s="24">
        <v>18873226426.094227</v>
      </c>
      <c r="P153" s="24">
        <f t="shared" si="20"/>
        <v>283098396391.41339</v>
      </c>
      <c r="Q153" s="23">
        <f t="shared" si="21"/>
        <v>2.736892840124748E-2</v>
      </c>
      <c r="R153" s="23">
        <f t="shared" si="22"/>
        <v>9.122976133749159E-3</v>
      </c>
      <c r="S153" s="23">
        <f t="shared" si="23"/>
        <v>8.2106785203742441E-2</v>
      </c>
    </row>
    <row r="154" spans="1:19" ht="15" customHeight="1" x14ac:dyDescent="0.25">
      <c r="A154" s="19" t="s">
        <v>330</v>
      </c>
      <c r="B154" s="19" t="s">
        <v>329</v>
      </c>
      <c r="C154" s="19" t="s">
        <v>40</v>
      </c>
      <c r="D154" s="19" t="s">
        <v>26</v>
      </c>
      <c r="E154" s="24">
        <v>127797234</v>
      </c>
      <c r="F154" s="21">
        <v>83.752789115316318</v>
      </c>
      <c r="G154" s="21">
        <f>100-F154</f>
        <v>16.247210884683682</v>
      </c>
      <c r="H154" s="24">
        <f t="shared" si="16"/>
        <v>20763486.112772677</v>
      </c>
      <c r="I154" s="36">
        <f t="shared" si="17"/>
        <v>20763486.112772677</v>
      </c>
      <c r="J154" s="19">
        <v>150</v>
      </c>
      <c r="K154" s="19">
        <f>0.02*10*365*7.5</f>
        <v>547.5</v>
      </c>
      <c r="L154" s="19">
        <f>0.08*150*7.5</f>
        <v>90</v>
      </c>
      <c r="M154" s="24">
        <f t="shared" si="18"/>
        <v>16351245313.808483</v>
      </c>
      <c r="N154" s="36">
        <f t="shared" si="19"/>
        <v>16351245313.808483</v>
      </c>
      <c r="O154" s="24">
        <v>7783755597.3120575</v>
      </c>
      <c r="P154" s="24">
        <f t="shared" si="20"/>
        <v>116756333959.68086</v>
      </c>
      <c r="Q154" s="23">
        <f t="shared" si="21"/>
        <v>0.14004589523558536</v>
      </c>
      <c r="R154" s="23">
        <f t="shared" si="22"/>
        <v>4.6681965078528453E-2</v>
      </c>
      <c r="S154" s="23">
        <f t="shared" si="23"/>
        <v>0.42013768570675603</v>
      </c>
    </row>
    <row r="155" spans="1:19" x14ac:dyDescent="0.25">
      <c r="A155" s="19" t="s">
        <v>332</v>
      </c>
      <c r="B155" s="19" t="s">
        <v>331</v>
      </c>
      <c r="C155" s="19" t="s">
        <v>45</v>
      </c>
      <c r="D155" s="19" t="s">
        <v>19</v>
      </c>
      <c r="E155" s="24">
        <v>37447642</v>
      </c>
      <c r="F155" s="21">
        <v>74</v>
      </c>
      <c r="G155" s="21">
        <f>100-F155</f>
        <v>26</v>
      </c>
      <c r="H155" s="24">
        <f t="shared" si="16"/>
        <v>9736386.9199999999</v>
      </c>
      <c r="I155" s="36">
        <f t="shared" si="17"/>
        <v>9736386.9199999999</v>
      </c>
      <c r="J155" s="19">
        <v>150</v>
      </c>
      <c r="K155" s="19">
        <f>0.02*10*365*7.5</f>
        <v>547.5</v>
      </c>
      <c r="L155" s="19">
        <f>0.08*150*7.5</f>
        <v>90</v>
      </c>
      <c r="M155" s="24">
        <f t="shared" si="18"/>
        <v>7667404699.5</v>
      </c>
      <c r="N155" s="36">
        <f t="shared" si="19"/>
        <v>7667404699.5</v>
      </c>
      <c r="O155" s="24">
        <v>8848984711.9180393</v>
      </c>
      <c r="P155" s="24">
        <f t="shared" si="20"/>
        <v>132734770678.77058</v>
      </c>
      <c r="Q155" s="23">
        <f t="shared" si="21"/>
        <v>5.7764854380588565E-2</v>
      </c>
      <c r="R155" s="23">
        <f t="shared" si="22"/>
        <v>1.9254951460196189E-2</v>
      </c>
      <c r="S155" s="23">
        <f t="shared" si="23"/>
        <v>0.1732945631417657</v>
      </c>
    </row>
    <row r="156" spans="1:19" x14ac:dyDescent="0.25">
      <c r="A156" s="19" t="s">
        <v>334</v>
      </c>
      <c r="B156" s="19" t="s">
        <v>333</v>
      </c>
      <c r="C156" s="19" t="s">
        <v>45</v>
      </c>
      <c r="D156" s="19" t="s">
        <v>19</v>
      </c>
      <c r="E156" s="24">
        <v>10432816</v>
      </c>
      <c r="F156" s="21">
        <v>86</v>
      </c>
      <c r="G156" s="21">
        <f>100-F156</f>
        <v>14</v>
      </c>
      <c r="H156" s="24">
        <f t="shared" si="16"/>
        <v>1460594.2400000002</v>
      </c>
      <c r="I156" s="36">
        <f t="shared" si="17"/>
        <v>1460594.2400000002</v>
      </c>
      <c r="J156" s="19">
        <v>150</v>
      </c>
      <c r="K156" s="19">
        <f>0.02*10*365*7.5</f>
        <v>547.5</v>
      </c>
      <c r="L156" s="19">
        <f>0.08*150*7.5</f>
        <v>90</v>
      </c>
      <c r="M156" s="24">
        <f t="shared" si="18"/>
        <v>1150217964.0000002</v>
      </c>
      <c r="N156" s="36">
        <f t="shared" si="19"/>
        <v>1150217964.0000002</v>
      </c>
      <c r="O156" s="24">
        <v>1382577582.3167782</v>
      </c>
      <c r="P156" s="24">
        <f t="shared" si="20"/>
        <v>20738663734.751671</v>
      </c>
      <c r="Q156" s="23">
        <f t="shared" si="21"/>
        <v>5.546249163935215E-2</v>
      </c>
      <c r="R156" s="23">
        <f t="shared" si="22"/>
        <v>1.8487497213117383E-2</v>
      </c>
      <c r="S156" s="23">
        <f t="shared" si="23"/>
        <v>0.16638747491805647</v>
      </c>
    </row>
    <row r="157" spans="1:19" ht="15" customHeight="1" x14ac:dyDescent="0.25">
      <c r="A157" s="31" t="s">
        <v>336</v>
      </c>
      <c r="B157" s="31" t="s">
        <v>335</v>
      </c>
      <c r="C157" s="31" t="s">
        <v>29</v>
      </c>
      <c r="D157" s="31" t="s">
        <v>35</v>
      </c>
      <c r="E157" s="30">
        <v>3703707</v>
      </c>
      <c r="F157" s="27">
        <v>92.9</v>
      </c>
      <c r="G157" s="27">
        <f>100-F157</f>
        <v>7.0999999999999943</v>
      </c>
      <c r="H157" s="24">
        <f t="shared" si="16"/>
        <v>262963.19699999975</v>
      </c>
      <c r="I157" s="36">
        <f t="shared" si="17"/>
        <v>262963.19699999975</v>
      </c>
      <c r="J157" s="31">
        <v>150</v>
      </c>
      <c r="K157" s="31">
        <f>0.02*10*365*7.5</f>
        <v>547.5</v>
      </c>
      <c r="L157" s="31">
        <f>0.08*150*7.5</f>
        <v>90</v>
      </c>
      <c r="M157" s="24">
        <f t="shared" si="18"/>
        <v>207083517.63749981</v>
      </c>
      <c r="N157" s="36">
        <f t="shared" si="19"/>
        <v>207083517.63749981</v>
      </c>
      <c r="O157" s="30">
        <v>0</v>
      </c>
      <c r="P157" s="24">
        <f t="shared" si="20"/>
        <v>0</v>
      </c>
      <c r="Q157" s="23" t="e">
        <f t="shared" si="21"/>
        <v>#DIV/0!</v>
      </c>
      <c r="R157" s="23" t="e">
        <f t="shared" si="22"/>
        <v>#DIV/0!</v>
      </c>
      <c r="S157" s="23" t="e">
        <f t="shared" si="23"/>
        <v>#DIV/0!</v>
      </c>
    </row>
    <row r="158" spans="1:19" ht="15" customHeight="1" x14ac:dyDescent="0.25">
      <c r="A158" s="19" t="s">
        <v>338</v>
      </c>
      <c r="B158" s="19" t="s">
        <v>337</v>
      </c>
      <c r="C158" s="19" t="s">
        <v>29</v>
      </c>
      <c r="D158" s="19" t="s">
        <v>22</v>
      </c>
      <c r="E158" s="24">
        <v>2760329</v>
      </c>
      <c r="F158" s="21">
        <v>98.500412389999994</v>
      </c>
      <c r="G158" s="21">
        <f>100-F158</f>
        <v>1.4995876100000061</v>
      </c>
      <c r="H158" s="24">
        <f t="shared" si="16"/>
        <v>41393.551679237069</v>
      </c>
      <c r="I158" s="36">
        <f t="shared" si="17"/>
        <v>41393.551679237069</v>
      </c>
      <c r="J158" s="19">
        <v>150</v>
      </c>
      <c r="K158" s="19">
        <f>0.02*10*365*7.5</f>
        <v>547.5</v>
      </c>
      <c r="L158" s="19">
        <f>0.08*150*7.5</f>
        <v>90</v>
      </c>
      <c r="M158" s="24">
        <f t="shared" si="18"/>
        <v>32597421.947399192</v>
      </c>
      <c r="N158" s="36">
        <f t="shared" si="19"/>
        <v>32597421.947399192</v>
      </c>
      <c r="O158" s="24">
        <v>36198411498.324532</v>
      </c>
      <c r="P158" s="24">
        <f t="shared" si="20"/>
        <v>542976172474.86798</v>
      </c>
      <c r="Q158" s="23">
        <f t="shared" si="21"/>
        <v>6.003471901689753E-5</v>
      </c>
      <c r="R158" s="23">
        <f t="shared" si="22"/>
        <v>2.0011573005632511E-5</v>
      </c>
      <c r="S158" s="23">
        <f t="shared" si="23"/>
        <v>1.801041570506926E-4</v>
      </c>
    </row>
    <row r="159" spans="1:19" ht="15" customHeight="1" x14ac:dyDescent="0.25">
      <c r="A159" s="19" t="s">
        <v>340</v>
      </c>
      <c r="B159" s="19" t="s">
        <v>339</v>
      </c>
      <c r="C159" s="19" t="s">
        <v>18</v>
      </c>
      <c r="D159" s="19" t="s">
        <v>19</v>
      </c>
      <c r="E159" s="24">
        <v>20232088</v>
      </c>
      <c r="F159" s="21">
        <v>58</v>
      </c>
      <c r="G159" s="21">
        <f>100-F159</f>
        <v>42</v>
      </c>
      <c r="H159" s="24">
        <f t="shared" si="16"/>
        <v>8497476.959999999</v>
      </c>
      <c r="I159" s="36">
        <f t="shared" si="17"/>
        <v>8497476.959999999</v>
      </c>
      <c r="J159" s="19">
        <v>150</v>
      </c>
      <c r="K159" s="19">
        <f>0.02*10*365*7.5</f>
        <v>547.5</v>
      </c>
      <c r="L159" s="19">
        <f>0.08*150*7.5</f>
        <v>90</v>
      </c>
      <c r="M159" s="24">
        <f t="shared" si="18"/>
        <v>6691763105.999999</v>
      </c>
      <c r="N159" s="36">
        <f t="shared" si="19"/>
        <v>6691763105.999999</v>
      </c>
      <c r="O159" s="24">
        <v>4151541416.0069842</v>
      </c>
      <c r="P159" s="24">
        <f t="shared" si="20"/>
        <v>62273121240.104767</v>
      </c>
      <c r="Q159" s="23">
        <f t="shared" si="21"/>
        <v>0.10745828975231146</v>
      </c>
      <c r="R159" s="23">
        <f t="shared" si="22"/>
        <v>3.5819429917437154E-2</v>
      </c>
      <c r="S159" s="23">
        <f t="shared" si="23"/>
        <v>0.32237486925693437</v>
      </c>
    </row>
    <row r="160" spans="1:19" ht="15" customHeight="1" x14ac:dyDescent="0.25">
      <c r="A160" s="19" t="s">
        <v>342</v>
      </c>
      <c r="B160" s="19" t="s">
        <v>341</v>
      </c>
      <c r="C160" s="19" t="s">
        <v>29</v>
      </c>
      <c r="D160" s="19" t="s">
        <v>19</v>
      </c>
      <c r="E160" s="24">
        <v>133556108</v>
      </c>
      <c r="F160" s="21">
        <v>93</v>
      </c>
      <c r="G160" s="21">
        <f>100-F160</f>
        <v>7</v>
      </c>
      <c r="H160" s="24">
        <f t="shared" si="16"/>
        <v>9348927.5600000005</v>
      </c>
      <c r="I160" s="36">
        <f t="shared" si="17"/>
        <v>9348927.5600000005</v>
      </c>
      <c r="J160" s="19">
        <v>150</v>
      </c>
      <c r="K160" s="19">
        <f>0.02*10*365*7.5</f>
        <v>547.5</v>
      </c>
      <c r="L160" s="19">
        <f>0.08*150*7.5</f>
        <v>90</v>
      </c>
      <c r="M160" s="24">
        <f t="shared" si="18"/>
        <v>7362280453.5</v>
      </c>
      <c r="N160" s="36">
        <f t="shared" si="19"/>
        <v>7362280453.5</v>
      </c>
      <c r="O160" s="24">
        <v>321602181004.87122</v>
      </c>
      <c r="P160" s="24">
        <f t="shared" si="20"/>
        <v>4824032715073.0684</v>
      </c>
      <c r="Q160" s="23">
        <f t="shared" si="21"/>
        <v>1.5261671900557343E-3</v>
      </c>
      <c r="R160" s="23">
        <f t="shared" si="22"/>
        <v>5.0872239668524485E-4</v>
      </c>
      <c r="S160" s="23">
        <f t="shared" si="23"/>
        <v>4.578501570167203E-3</v>
      </c>
    </row>
    <row r="161" spans="1:19" ht="15" customHeight="1" x14ac:dyDescent="0.25">
      <c r="A161" s="19" t="s">
        <v>344</v>
      </c>
      <c r="B161" s="19" t="s">
        <v>343</v>
      </c>
      <c r="C161" s="19" t="s">
        <v>14</v>
      </c>
      <c r="D161" s="19" t="s">
        <v>32</v>
      </c>
      <c r="E161" s="24">
        <v>17771249</v>
      </c>
      <c r="F161" s="21">
        <v>40.299999999999997</v>
      </c>
      <c r="G161" s="21">
        <f>100-F161</f>
        <v>59.7</v>
      </c>
      <c r="H161" s="24">
        <f t="shared" si="16"/>
        <v>10609435.652999999</v>
      </c>
      <c r="I161" s="36">
        <f t="shared" si="17"/>
        <v>10609435.652999999</v>
      </c>
      <c r="J161" s="19">
        <v>150</v>
      </c>
      <c r="K161" s="19">
        <f>0.02*10*365*7.5</f>
        <v>547.5</v>
      </c>
      <c r="L161" s="19">
        <f>0.08*150*7.5</f>
        <v>90</v>
      </c>
      <c r="M161" s="24">
        <f t="shared" si="18"/>
        <v>8354930576.7374992</v>
      </c>
      <c r="N161" s="36">
        <f t="shared" si="19"/>
        <v>8354930576.7374992</v>
      </c>
      <c r="O161" s="24">
        <v>374942592.12015301</v>
      </c>
      <c r="P161" s="24">
        <f t="shared" si="20"/>
        <v>5624138881.8022947</v>
      </c>
      <c r="Q161" s="23">
        <f t="shared" si="21"/>
        <v>1.485548410579097</v>
      </c>
      <c r="R161" s="23">
        <f t="shared" si="22"/>
        <v>0.49518280352636573</v>
      </c>
      <c r="S161" s="23">
        <f t="shared" si="23"/>
        <v>4.4566452317372915</v>
      </c>
    </row>
    <row r="162" spans="1:19" ht="15" customHeight="1" x14ac:dyDescent="0.25">
      <c r="A162" s="19" t="s">
        <v>346</v>
      </c>
      <c r="B162" s="19" t="s">
        <v>345</v>
      </c>
      <c r="C162" s="19" t="s">
        <v>40</v>
      </c>
      <c r="D162" s="19" t="s">
        <v>26</v>
      </c>
      <c r="E162" s="24">
        <v>211105</v>
      </c>
      <c r="F162" s="21" t="s">
        <v>232</v>
      </c>
      <c r="G162" s="21">
        <v>31.129346349193881</v>
      </c>
      <c r="H162" s="24">
        <f t="shared" si="16"/>
        <v>65715.606610465737</v>
      </c>
      <c r="I162" s="36">
        <f t="shared" si="17"/>
        <v>65715.606610465737</v>
      </c>
      <c r="J162" s="19">
        <v>150</v>
      </c>
      <c r="K162" s="19">
        <f>0.02*10*365*7.5</f>
        <v>547.5</v>
      </c>
      <c r="L162" s="19">
        <f>0.08*150*7.5</f>
        <v>90</v>
      </c>
      <c r="M162" s="24">
        <f t="shared" si="18"/>
        <v>51751040.205741771</v>
      </c>
      <c r="N162" s="36">
        <f t="shared" si="19"/>
        <v>51751040.205741771</v>
      </c>
      <c r="O162" s="24">
        <v>4184944.6022272655</v>
      </c>
      <c r="P162" s="24">
        <f t="shared" si="20"/>
        <v>62774169.033408985</v>
      </c>
      <c r="Q162" s="23">
        <f t="shared" si="21"/>
        <v>0.82440024300758796</v>
      </c>
      <c r="R162" s="23">
        <f t="shared" si="22"/>
        <v>0.27480008100252934</v>
      </c>
      <c r="S162" s="23">
        <f t="shared" si="23"/>
        <v>2.4732007290227642</v>
      </c>
    </row>
    <row r="163" spans="1:19" ht="15" customHeight="1" x14ac:dyDescent="0.25">
      <c r="A163" s="19" t="s">
        <v>348</v>
      </c>
      <c r="B163" s="19" t="s">
        <v>347</v>
      </c>
      <c r="C163" s="19" t="s">
        <v>29</v>
      </c>
      <c r="D163" s="19" t="s">
        <v>19</v>
      </c>
      <c r="E163" s="24">
        <v>33108</v>
      </c>
      <c r="F163" s="21" t="s">
        <v>232</v>
      </c>
      <c r="G163" s="21">
        <v>14.792992315545245</v>
      </c>
      <c r="H163" s="24">
        <f t="shared" si="16"/>
        <v>4897.6638958307194</v>
      </c>
      <c r="I163" s="36">
        <f t="shared" si="17"/>
        <v>4897.6638958307194</v>
      </c>
      <c r="J163" s="19">
        <v>150</v>
      </c>
      <c r="K163" s="19">
        <f>0.02*10*365*7.5</f>
        <v>547.5</v>
      </c>
      <c r="L163" s="19">
        <f>0.08*150*7.5</f>
        <v>90</v>
      </c>
      <c r="M163" s="24">
        <f t="shared" si="18"/>
        <v>3856910.3179666917</v>
      </c>
      <c r="N163" s="36">
        <f t="shared" si="19"/>
        <v>3856910.3179666917</v>
      </c>
      <c r="O163" s="24" t="s">
        <v>232</v>
      </c>
      <c r="P163" s="24" t="e">
        <f t="shared" si="20"/>
        <v>#VALUE!</v>
      </c>
      <c r="Q163" s="23" t="e">
        <f t="shared" si="21"/>
        <v>#VALUE!</v>
      </c>
      <c r="R163" s="23" t="e">
        <f t="shared" si="22"/>
        <v>#VALUE!</v>
      </c>
      <c r="S163" s="23" t="e">
        <f t="shared" si="23"/>
        <v>#VALUE!</v>
      </c>
    </row>
    <row r="164" spans="1:19" ht="15" customHeight="1" x14ac:dyDescent="0.25">
      <c r="A164" s="19" t="s">
        <v>350</v>
      </c>
      <c r="B164" s="19" t="s">
        <v>349</v>
      </c>
      <c r="C164" s="19" t="s">
        <v>40</v>
      </c>
      <c r="D164" s="19" t="s">
        <v>32</v>
      </c>
      <c r="E164" s="24">
        <v>278192</v>
      </c>
      <c r="F164" s="21" t="s">
        <v>232</v>
      </c>
      <c r="G164" s="21">
        <v>59.651025134275415</v>
      </c>
      <c r="H164" s="24">
        <f t="shared" si="16"/>
        <v>165944.37984154347</v>
      </c>
      <c r="I164" s="36">
        <f t="shared" si="17"/>
        <v>165944.37984154347</v>
      </c>
      <c r="J164" s="19">
        <v>150</v>
      </c>
      <c r="K164" s="19">
        <f>0.02*10*365*7.5</f>
        <v>547.5</v>
      </c>
      <c r="L164" s="19">
        <f>0.08*150*7.5</f>
        <v>90</v>
      </c>
      <c r="M164" s="24">
        <f t="shared" si="18"/>
        <v>130681199.12521549</v>
      </c>
      <c r="N164" s="36">
        <f t="shared" si="19"/>
        <v>130681199.12521549</v>
      </c>
      <c r="O164" s="24">
        <v>6448878.1292010797</v>
      </c>
      <c r="P164" s="24">
        <f t="shared" si="20"/>
        <v>96733171.938016191</v>
      </c>
      <c r="Q164" s="23">
        <f t="shared" si="21"/>
        <v>1.3509450430194949</v>
      </c>
      <c r="R164" s="23">
        <f t="shared" si="22"/>
        <v>0.45031501433983162</v>
      </c>
      <c r="S164" s="23">
        <f t="shared" si="23"/>
        <v>4.0528351290584848</v>
      </c>
    </row>
    <row r="165" spans="1:19" ht="15" customHeight="1" x14ac:dyDescent="0.25">
      <c r="A165" s="19" t="s">
        <v>352</v>
      </c>
      <c r="B165" s="19" t="s">
        <v>351</v>
      </c>
      <c r="C165" s="19" t="s">
        <v>29</v>
      </c>
      <c r="D165" s="19" t="s">
        <v>22</v>
      </c>
      <c r="E165" s="24">
        <v>35634201</v>
      </c>
      <c r="F165" s="21">
        <v>60.3</v>
      </c>
      <c r="G165" s="21">
        <f>100-F165</f>
        <v>39.700000000000003</v>
      </c>
      <c r="H165" s="24">
        <f t="shared" si="16"/>
        <v>14146777.797</v>
      </c>
      <c r="I165" s="36">
        <f t="shared" si="17"/>
        <v>14146777.797</v>
      </c>
      <c r="J165" s="19">
        <v>150</v>
      </c>
      <c r="K165" s="19">
        <f>0.02*10*365*7.5</f>
        <v>547.5</v>
      </c>
      <c r="L165" s="19">
        <f>0.08*150*7.5</f>
        <v>90</v>
      </c>
      <c r="M165" s="24">
        <f t="shared" si="18"/>
        <v>11140587515.137501</v>
      </c>
      <c r="N165" s="36">
        <f t="shared" si="19"/>
        <v>11140587515.137501</v>
      </c>
      <c r="O165" s="24">
        <v>227429658719.18033</v>
      </c>
      <c r="P165" s="24">
        <f t="shared" si="20"/>
        <v>3411444880787.7051</v>
      </c>
      <c r="Q165" s="23">
        <f t="shared" si="21"/>
        <v>3.265650744609167E-3</v>
      </c>
      <c r="R165" s="23">
        <f t="shared" si="22"/>
        <v>1.0885502482030557E-3</v>
      </c>
      <c r="S165" s="23">
        <f t="shared" si="23"/>
        <v>9.7969522338275019E-3</v>
      </c>
    </row>
    <row r="166" spans="1:19" ht="15" customHeight="1" x14ac:dyDescent="0.25">
      <c r="A166" s="19" t="s">
        <v>354</v>
      </c>
      <c r="B166" s="19" t="s">
        <v>353</v>
      </c>
      <c r="C166" s="19" t="s">
        <v>40</v>
      </c>
      <c r="D166" s="19" t="s">
        <v>32</v>
      </c>
      <c r="E166" s="24">
        <v>21855703</v>
      </c>
      <c r="F166" s="21">
        <v>92</v>
      </c>
      <c r="G166" s="21">
        <f>100-F166</f>
        <v>8</v>
      </c>
      <c r="H166" s="24">
        <f t="shared" si="16"/>
        <v>1748456.24</v>
      </c>
      <c r="I166" s="36">
        <f t="shared" si="17"/>
        <v>1748456.24</v>
      </c>
      <c r="J166" s="19">
        <v>150</v>
      </c>
      <c r="K166" s="19">
        <f>0.02*10*365*7.5</f>
        <v>547.5</v>
      </c>
      <c r="L166" s="19">
        <f>0.08*150*7.5</f>
        <v>90</v>
      </c>
      <c r="M166" s="24">
        <f t="shared" si="18"/>
        <v>1376909289</v>
      </c>
      <c r="N166" s="36">
        <f t="shared" si="19"/>
        <v>1376909289</v>
      </c>
      <c r="O166" s="24">
        <v>551591058.22012687</v>
      </c>
      <c r="P166" s="24">
        <f t="shared" si="20"/>
        <v>8273865873.3019028</v>
      </c>
      <c r="Q166" s="23">
        <f t="shared" si="21"/>
        <v>0.16641667995163043</v>
      </c>
      <c r="R166" s="23">
        <f t="shared" si="22"/>
        <v>5.547222665054348E-2</v>
      </c>
      <c r="S166" s="23">
        <f t="shared" si="23"/>
        <v>0.4992500398548913</v>
      </c>
    </row>
    <row r="167" spans="1:19" ht="15" customHeight="1" x14ac:dyDescent="0.25">
      <c r="A167" s="19" t="s">
        <v>356</v>
      </c>
      <c r="B167" s="19" t="s">
        <v>355</v>
      </c>
      <c r="C167" s="19" t="s">
        <v>18</v>
      </c>
      <c r="D167" s="19" t="s">
        <v>19</v>
      </c>
      <c r="E167" s="24">
        <v>8582256</v>
      </c>
      <c r="F167" s="21">
        <v>80.8</v>
      </c>
      <c r="G167" s="21">
        <f>100-F167</f>
        <v>19.200000000000003</v>
      </c>
      <c r="H167" s="24">
        <f t="shared" si="16"/>
        <v>1647793.1520000002</v>
      </c>
      <c r="I167" s="36">
        <f t="shared" si="17"/>
        <v>1647793.1520000002</v>
      </c>
      <c r="J167" s="19">
        <v>150</v>
      </c>
      <c r="K167" s="19">
        <f>0.02*10*365*7.5</f>
        <v>547.5</v>
      </c>
      <c r="L167" s="19">
        <f>0.08*150*7.5</f>
        <v>90</v>
      </c>
      <c r="M167" s="24">
        <f t="shared" si="18"/>
        <v>1297637107.2000003</v>
      </c>
      <c r="N167" s="36">
        <f t="shared" si="19"/>
        <v>1297637107.2000003</v>
      </c>
      <c r="O167" s="24">
        <v>1253506714.6213751</v>
      </c>
      <c r="P167" s="24">
        <f t="shared" si="20"/>
        <v>18802600719.320625</v>
      </c>
      <c r="Q167" s="23">
        <f t="shared" si="21"/>
        <v>6.9013703294066781E-2</v>
      </c>
      <c r="R167" s="23">
        <f t="shared" si="22"/>
        <v>2.3004567764688927E-2</v>
      </c>
      <c r="S167" s="23">
        <f t="shared" si="23"/>
        <v>0.20704110988220034</v>
      </c>
    </row>
    <row r="168" spans="1:19" ht="15" customHeight="1" x14ac:dyDescent="0.25">
      <c r="A168" s="19" t="s">
        <v>358</v>
      </c>
      <c r="B168" s="19" t="s">
        <v>357</v>
      </c>
      <c r="C168" s="19" t="s">
        <v>18</v>
      </c>
      <c r="D168" s="19" t="s">
        <v>32</v>
      </c>
      <c r="E168" s="24">
        <v>98416</v>
      </c>
      <c r="F168" s="21">
        <v>89.317723049999998</v>
      </c>
      <c r="G168" s="21">
        <f>100-F168</f>
        <v>10.682276950000002</v>
      </c>
      <c r="H168" s="24">
        <f t="shared" si="16"/>
        <v>10513.069683112002</v>
      </c>
      <c r="I168" s="36">
        <f t="shared" si="17"/>
        <v>10513.069683112002</v>
      </c>
      <c r="J168" s="19">
        <v>150</v>
      </c>
      <c r="K168" s="19">
        <f>0.02*10*365*7.5</f>
        <v>547.5</v>
      </c>
      <c r="L168" s="19">
        <f>0.08*150*7.5</f>
        <v>90</v>
      </c>
      <c r="M168" s="24">
        <f t="shared" si="18"/>
        <v>8279042.3754507015</v>
      </c>
      <c r="N168" s="36">
        <f t="shared" si="19"/>
        <v>8279042.3754507015</v>
      </c>
      <c r="O168" s="24">
        <v>1160995.7542812461</v>
      </c>
      <c r="P168" s="24">
        <f t="shared" si="20"/>
        <v>17414936.314218692</v>
      </c>
      <c r="Q168" s="23">
        <f t="shared" si="21"/>
        <v>0.47539894640275832</v>
      </c>
      <c r="R168" s="23">
        <f t="shared" si="22"/>
        <v>0.15846631546758611</v>
      </c>
      <c r="S168" s="23">
        <f t="shared" si="23"/>
        <v>1.4261968392082749</v>
      </c>
    </row>
    <row r="169" spans="1:19" x14ac:dyDescent="0.25">
      <c r="A169" s="19" t="s">
        <v>360</v>
      </c>
      <c r="B169" s="19" t="s">
        <v>359</v>
      </c>
      <c r="C169" s="19" t="s">
        <v>14</v>
      </c>
      <c r="D169" s="19" t="s">
        <v>32</v>
      </c>
      <c r="E169" s="24">
        <v>8057580</v>
      </c>
      <c r="F169" s="21">
        <v>28.1</v>
      </c>
      <c r="G169" s="21">
        <f>100-F169</f>
        <v>71.900000000000006</v>
      </c>
      <c r="H169" s="24">
        <f t="shared" si="16"/>
        <v>5793400.0200000005</v>
      </c>
      <c r="I169" s="36">
        <f t="shared" si="17"/>
        <v>5793400.0200000005</v>
      </c>
      <c r="J169" s="19">
        <v>150</v>
      </c>
      <c r="K169" s="19">
        <f>0.02*10*365*7.5</f>
        <v>547.5</v>
      </c>
      <c r="L169" s="19">
        <f>0.08*150*7.5</f>
        <v>90</v>
      </c>
      <c r="M169" s="24">
        <f t="shared" si="18"/>
        <v>4562302515.75</v>
      </c>
      <c r="N169" s="36">
        <f t="shared" si="19"/>
        <v>4562302515.75</v>
      </c>
      <c r="O169" s="24">
        <v>309951994.2008189</v>
      </c>
      <c r="P169" s="24">
        <f t="shared" si="20"/>
        <v>4649279913.0122833</v>
      </c>
      <c r="Q169" s="23">
        <f t="shared" si="21"/>
        <v>0.98129228635624777</v>
      </c>
      <c r="R169" s="23">
        <f t="shared" si="22"/>
        <v>0.32709742878541592</v>
      </c>
      <c r="S169" s="23">
        <f t="shared" si="23"/>
        <v>2.9438768590687432</v>
      </c>
    </row>
    <row r="170" spans="1:19" x14ac:dyDescent="0.25">
      <c r="A170" s="31" t="s">
        <v>362</v>
      </c>
      <c r="B170" s="31" t="s">
        <v>361</v>
      </c>
      <c r="C170" s="31" t="s">
        <v>29</v>
      </c>
      <c r="D170" s="31" t="s">
        <v>26</v>
      </c>
      <c r="E170" s="30">
        <v>6577884</v>
      </c>
      <c r="F170" s="27">
        <v>95.869676760000004</v>
      </c>
      <c r="G170" s="27">
        <f>100-F170</f>
        <v>4.1303232399999956</v>
      </c>
      <c r="H170" s="24">
        <f t="shared" si="16"/>
        <v>271687.87155224133</v>
      </c>
      <c r="I170" s="36">
        <f t="shared" si="17"/>
        <v>271687.87155224133</v>
      </c>
      <c r="J170" s="31">
        <v>150</v>
      </c>
      <c r="K170" s="31">
        <f>0.02*10*365*7.5</f>
        <v>547.5</v>
      </c>
      <c r="L170" s="31">
        <f>0.08*150*7.5</f>
        <v>90</v>
      </c>
      <c r="M170" s="24">
        <f t="shared" si="18"/>
        <v>213954198.84739006</v>
      </c>
      <c r="N170" s="36">
        <f t="shared" si="19"/>
        <v>213954198.84739006</v>
      </c>
      <c r="O170" s="30">
        <v>0</v>
      </c>
      <c r="P170" s="24">
        <f t="shared" si="20"/>
        <v>0</v>
      </c>
      <c r="Q170" s="23" t="e">
        <f t="shared" si="21"/>
        <v>#DIV/0!</v>
      </c>
      <c r="R170" s="23" t="e">
        <f t="shared" si="22"/>
        <v>#DIV/0!</v>
      </c>
      <c r="S170" s="23" t="e">
        <f t="shared" si="23"/>
        <v>#DIV/0!</v>
      </c>
    </row>
    <row r="171" spans="1:19" ht="15" customHeight="1" x14ac:dyDescent="0.25">
      <c r="A171" s="19" t="s">
        <v>364</v>
      </c>
      <c r="B171" s="19" t="s">
        <v>363</v>
      </c>
      <c r="C171" s="19" t="s">
        <v>29</v>
      </c>
      <c r="D171" s="19" t="s">
        <v>35</v>
      </c>
      <c r="E171" s="24">
        <v>56791</v>
      </c>
      <c r="F171" s="21" t="s">
        <v>232</v>
      </c>
      <c r="G171" s="21">
        <v>26.644402312055828</v>
      </c>
      <c r="H171" s="24">
        <f t="shared" si="16"/>
        <v>15131.622517039625</v>
      </c>
      <c r="I171" s="36">
        <f t="shared" si="17"/>
        <v>15131.622517039625</v>
      </c>
      <c r="J171" s="19">
        <v>150</v>
      </c>
      <c r="K171" s="19">
        <f>0.02*10*365*7.5</f>
        <v>547.5</v>
      </c>
      <c r="L171" s="19">
        <f>0.08*150*7.5</f>
        <v>90</v>
      </c>
      <c r="M171" s="24">
        <f t="shared" si="18"/>
        <v>11916152.732168704</v>
      </c>
      <c r="N171" s="36">
        <f t="shared" si="19"/>
        <v>11916152.732168704</v>
      </c>
      <c r="O171" s="24" t="s">
        <v>232</v>
      </c>
      <c r="P171" s="24" t="e">
        <f t="shared" si="20"/>
        <v>#VALUE!</v>
      </c>
      <c r="Q171" s="23" t="e">
        <f t="shared" si="21"/>
        <v>#VALUE!</v>
      </c>
      <c r="R171" s="23" t="e">
        <f t="shared" si="22"/>
        <v>#VALUE!</v>
      </c>
      <c r="S171" s="23" t="e">
        <f t="shared" si="23"/>
        <v>#VALUE!</v>
      </c>
    </row>
    <row r="172" spans="1:19" ht="15" customHeight="1" x14ac:dyDescent="0.25">
      <c r="A172" s="19" t="s">
        <v>366</v>
      </c>
      <c r="B172" s="19" t="s">
        <v>365</v>
      </c>
      <c r="C172" s="19" t="s">
        <v>45</v>
      </c>
      <c r="D172" s="19" t="s">
        <v>19</v>
      </c>
      <c r="E172" s="24">
        <v>5395535</v>
      </c>
      <c r="F172" s="21">
        <v>100</v>
      </c>
      <c r="G172" s="21">
        <f>100-F172</f>
        <v>0</v>
      </c>
      <c r="H172" s="24">
        <f t="shared" si="16"/>
        <v>0</v>
      </c>
      <c r="I172" s="36">
        <f t="shared" si="17"/>
        <v>0</v>
      </c>
      <c r="J172" s="19">
        <v>150</v>
      </c>
      <c r="K172" s="19">
        <f>0.02*10*365*7.5</f>
        <v>547.5</v>
      </c>
      <c r="L172" s="19">
        <f>0.08*150*7.5</f>
        <v>90</v>
      </c>
      <c r="M172" s="24">
        <f t="shared" si="18"/>
        <v>0</v>
      </c>
      <c r="N172" s="36">
        <f t="shared" si="19"/>
        <v>0</v>
      </c>
      <c r="O172" s="24">
        <v>586207377.22308779</v>
      </c>
      <c r="P172" s="24">
        <f t="shared" si="20"/>
        <v>8793110658.3463173</v>
      </c>
      <c r="Q172" s="23">
        <f t="shared" si="21"/>
        <v>0</v>
      </c>
      <c r="R172" s="23">
        <f t="shared" si="22"/>
        <v>0</v>
      </c>
      <c r="S172" s="23">
        <f t="shared" si="23"/>
        <v>0</v>
      </c>
    </row>
    <row r="173" spans="1:19" ht="15" customHeight="1" x14ac:dyDescent="0.25">
      <c r="A173" s="19" t="s">
        <v>368</v>
      </c>
      <c r="B173" s="19" t="s">
        <v>367</v>
      </c>
      <c r="C173" s="19" t="s">
        <v>45</v>
      </c>
      <c r="D173" s="19" t="s">
        <v>19</v>
      </c>
      <c r="E173" s="24">
        <v>2086065.9999999998</v>
      </c>
      <c r="F173" s="21">
        <v>87.336734693877546</v>
      </c>
      <c r="G173" s="21">
        <f>100-F173</f>
        <v>12.663265306122454</v>
      </c>
      <c r="H173" s="24">
        <f t="shared" si="16"/>
        <v>264164.07204081642</v>
      </c>
      <c r="I173" s="36">
        <f t="shared" si="17"/>
        <v>264164.07204081642</v>
      </c>
      <c r="J173" s="19">
        <v>150</v>
      </c>
      <c r="K173" s="19">
        <f>0.02*10*365*7.5</f>
        <v>547.5</v>
      </c>
      <c r="L173" s="19">
        <f>0.08*150*7.5</f>
        <v>90</v>
      </c>
      <c r="M173" s="24">
        <f t="shared" si="18"/>
        <v>208029206.73214293</v>
      </c>
      <c r="N173" s="36">
        <f t="shared" si="19"/>
        <v>208029206.73214293</v>
      </c>
      <c r="O173" s="24">
        <v>179102965.90790325</v>
      </c>
      <c r="P173" s="24">
        <f t="shared" si="20"/>
        <v>2686544488.6185489</v>
      </c>
      <c r="Q173" s="23">
        <f t="shared" si="21"/>
        <v>7.743374718470189E-2</v>
      </c>
      <c r="R173" s="23">
        <f t="shared" si="22"/>
        <v>2.5811249061567298E-2</v>
      </c>
      <c r="S173" s="23">
        <f t="shared" si="23"/>
        <v>0.23230124155410567</v>
      </c>
    </row>
    <row r="174" spans="1:19" s="31" customFormat="1" ht="15" customHeight="1" x14ac:dyDescent="0.25">
      <c r="A174" s="19" t="s">
        <v>370</v>
      </c>
      <c r="B174" s="19" t="s">
        <v>369</v>
      </c>
      <c r="C174" s="19" t="s">
        <v>40</v>
      </c>
      <c r="D174" s="19" t="s">
        <v>26</v>
      </c>
      <c r="E174" s="24">
        <v>764146</v>
      </c>
      <c r="F174" s="21" t="s">
        <v>232</v>
      </c>
      <c r="G174" s="21">
        <v>31.129346349193881</v>
      </c>
      <c r="H174" s="24">
        <f t="shared" si="16"/>
        <v>237873.65495351108</v>
      </c>
      <c r="I174" s="36">
        <f t="shared" si="17"/>
        <v>237873.65495351108</v>
      </c>
      <c r="J174" s="19">
        <v>150</v>
      </c>
      <c r="K174" s="19">
        <f>0.02*10*365*7.5</f>
        <v>547.5</v>
      </c>
      <c r="L174" s="19">
        <f>0.08*150*7.5</f>
        <v>90</v>
      </c>
      <c r="M174" s="24">
        <f t="shared" si="18"/>
        <v>187325503.27588996</v>
      </c>
      <c r="N174" s="36">
        <f t="shared" si="19"/>
        <v>187325503.27588996</v>
      </c>
      <c r="O174" s="24">
        <v>177911447.47763148</v>
      </c>
      <c r="P174" s="24">
        <f t="shared" si="20"/>
        <v>2668671712.1644721</v>
      </c>
      <c r="Q174" s="23">
        <f t="shared" si="21"/>
        <v>7.0194285202639775E-2</v>
      </c>
      <c r="R174" s="23">
        <f t="shared" si="22"/>
        <v>2.3398095067546594E-2</v>
      </c>
      <c r="S174" s="23">
        <f t="shared" si="23"/>
        <v>0.21058285560791931</v>
      </c>
    </row>
    <row r="175" spans="1:19" x14ac:dyDescent="0.25">
      <c r="A175" s="19" t="s">
        <v>372</v>
      </c>
      <c r="B175" s="19" t="s">
        <v>371</v>
      </c>
      <c r="C175" s="19" t="s">
        <v>14</v>
      </c>
      <c r="D175" s="19" t="s">
        <v>32</v>
      </c>
      <c r="E175" s="24">
        <v>16880129</v>
      </c>
      <c r="F175" s="21" t="s">
        <v>232</v>
      </c>
      <c r="G175" s="21">
        <v>59.651025134275415</v>
      </c>
      <c r="H175" s="24">
        <f t="shared" si="16"/>
        <v>10069169.992488114</v>
      </c>
      <c r="I175" s="36">
        <f t="shared" si="17"/>
        <v>10069169.992488114</v>
      </c>
      <c r="J175" s="19">
        <v>150</v>
      </c>
      <c r="K175" s="19">
        <f>0.02*10*365*7.5</f>
        <v>547.5</v>
      </c>
      <c r="L175" s="19">
        <f>0.08*150*7.5</f>
        <v>90</v>
      </c>
      <c r="M175" s="24">
        <f t="shared" si="18"/>
        <v>7929471369.0843897</v>
      </c>
      <c r="N175" s="36">
        <f t="shared" si="19"/>
        <v>7929471369.0843897</v>
      </c>
      <c r="O175" s="24" t="s">
        <v>232</v>
      </c>
      <c r="P175" s="24" t="e">
        <f t="shared" si="20"/>
        <v>#VALUE!</v>
      </c>
      <c r="Q175" s="23" t="e">
        <f t="shared" si="21"/>
        <v>#VALUE!</v>
      </c>
      <c r="R175" s="23" t="e">
        <f t="shared" si="22"/>
        <v>#VALUE!</v>
      </c>
      <c r="S175" s="23" t="e">
        <f t="shared" si="23"/>
        <v>#VALUE!</v>
      </c>
    </row>
    <row r="176" spans="1:19" s="31" customFormat="1" ht="15" customHeight="1" x14ac:dyDescent="0.25">
      <c r="A176" s="19" t="s">
        <v>374</v>
      </c>
      <c r="B176" s="19" t="s">
        <v>373</v>
      </c>
      <c r="C176" s="19" t="s">
        <v>18</v>
      </c>
      <c r="D176" s="19" t="s">
        <v>32</v>
      </c>
      <c r="E176" s="24">
        <v>58095501</v>
      </c>
      <c r="F176" s="21">
        <v>85.819546430000003</v>
      </c>
      <c r="G176" s="21">
        <f>100-F176</f>
        <v>14.180453569999997</v>
      </c>
      <c r="H176" s="24">
        <f t="shared" si="16"/>
        <v>8238205.545563885</v>
      </c>
      <c r="I176" s="36">
        <f t="shared" si="17"/>
        <v>8238205.545563885</v>
      </c>
      <c r="J176" s="19">
        <v>150</v>
      </c>
      <c r="K176" s="19">
        <f>0.02*10*365*7.5</f>
        <v>547.5</v>
      </c>
      <c r="L176" s="19">
        <f>0.08*150*7.5</f>
        <v>90</v>
      </c>
      <c r="M176" s="24">
        <f t="shared" si="18"/>
        <v>6487586867.1315594</v>
      </c>
      <c r="N176" s="36">
        <f t="shared" si="19"/>
        <v>6487586867.1315594</v>
      </c>
      <c r="O176" s="24">
        <v>29273625097.571095</v>
      </c>
      <c r="P176" s="24">
        <f t="shared" si="20"/>
        <v>439104376463.56641</v>
      </c>
      <c r="Q176" s="23">
        <f t="shared" si="21"/>
        <v>1.4774589402594695E-2</v>
      </c>
      <c r="R176" s="23">
        <f t="shared" si="22"/>
        <v>4.9248631341982313E-3</v>
      </c>
      <c r="S176" s="23">
        <f t="shared" si="23"/>
        <v>4.4323768207784081E-2</v>
      </c>
    </row>
    <row r="177" spans="1:19" ht="15" customHeight="1" x14ac:dyDescent="0.25">
      <c r="A177" s="31" t="s">
        <v>376</v>
      </c>
      <c r="B177" s="31" t="s">
        <v>375</v>
      </c>
      <c r="C177" s="31" t="s">
        <v>14</v>
      </c>
      <c r="D177" s="31" t="s">
        <v>32</v>
      </c>
      <c r="E177" s="30">
        <v>17296842</v>
      </c>
      <c r="F177" s="21" t="s">
        <v>232</v>
      </c>
      <c r="G177" s="27">
        <v>59.651025134275415</v>
      </c>
      <c r="H177" s="24">
        <f t="shared" si="16"/>
        <v>10317743.568855906</v>
      </c>
      <c r="I177" s="36">
        <f t="shared" si="17"/>
        <v>10317743.568855906</v>
      </c>
      <c r="J177" s="31">
        <v>150</v>
      </c>
      <c r="K177" s="31">
        <f>0.02*10*365*7.5</f>
        <v>547.5</v>
      </c>
      <c r="L177" s="31">
        <f>0.08*150*7.5</f>
        <v>90</v>
      </c>
      <c r="M177" s="24">
        <f t="shared" si="18"/>
        <v>8125223060.4740257</v>
      </c>
      <c r="N177" s="36">
        <f t="shared" si="19"/>
        <v>8125223060.4740257</v>
      </c>
      <c r="O177" s="30">
        <v>0</v>
      </c>
      <c r="P177" s="24">
        <f t="shared" si="20"/>
        <v>0</v>
      </c>
      <c r="Q177" s="23" t="e">
        <f t="shared" si="21"/>
        <v>#DIV/0!</v>
      </c>
      <c r="R177" s="23" t="e">
        <f t="shared" si="22"/>
        <v>#DIV/0!</v>
      </c>
      <c r="S177" s="23" t="e">
        <f t="shared" si="23"/>
        <v>#DIV/0!</v>
      </c>
    </row>
    <row r="178" spans="1:19" ht="15" customHeight="1" x14ac:dyDescent="0.25">
      <c r="A178" s="19" t="s">
        <v>378</v>
      </c>
      <c r="B178" s="19" t="s">
        <v>377</v>
      </c>
      <c r="C178" s="19" t="s">
        <v>45</v>
      </c>
      <c r="D178" s="19" t="s">
        <v>19</v>
      </c>
      <c r="E178" s="24">
        <v>48235492</v>
      </c>
      <c r="F178" s="21">
        <v>86.146865861411314</v>
      </c>
      <c r="G178" s="21">
        <f>100-F178</f>
        <v>13.853134138588686</v>
      </c>
      <c r="H178" s="24">
        <f t="shared" si="16"/>
        <v>6682127.4091682145</v>
      </c>
      <c r="I178" s="36">
        <f t="shared" si="17"/>
        <v>6682127.4091682145</v>
      </c>
      <c r="J178" s="19">
        <v>150</v>
      </c>
      <c r="K178" s="19">
        <f>0.02*10*365*7.5</f>
        <v>547.5</v>
      </c>
      <c r="L178" s="19">
        <f>0.08*150*7.5</f>
        <v>90</v>
      </c>
      <c r="M178" s="24">
        <f t="shared" si="18"/>
        <v>5262175334.7199688</v>
      </c>
      <c r="N178" s="36">
        <f t="shared" si="19"/>
        <v>5262175334.7199688</v>
      </c>
      <c r="O178" s="24">
        <v>2120296778.8542163</v>
      </c>
      <c r="P178" s="24">
        <f t="shared" si="20"/>
        <v>31804451682.813244</v>
      </c>
      <c r="Q178" s="23">
        <f t="shared" si="21"/>
        <v>0.16545404986697468</v>
      </c>
      <c r="R178" s="23">
        <f t="shared" si="22"/>
        <v>5.5151349955658222E-2</v>
      </c>
      <c r="S178" s="23">
        <f t="shared" si="23"/>
        <v>0.49636214960092401</v>
      </c>
    </row>
    <row r="179" spans="1:19" ht="15" customHeight="1" x14ac:dyDescent="0.25">
      <c r="A179" s="19" t="s">
        <v>380</v>
      </c>
      <c r="B179" s="19" t="s">
        <v>379</v>
      </c>
      <c r="C179" s="19" t="s">
        <v>40</v>
      </c>
      <c r="D179" s="19" t="s">
        <v>15</v>
      </c>
      <c r="E179" s="24">
        <v>23271183</v>
      </c>
      <c r="F179" s="21" t="s">
        <v>232</v>
      </c>
      <c r="G179" s="21">
        <v>48.28744973545254</v>
      </c>
      <c r="H179" s="24">
        <f t="shared" si="16"/>
        <v>11237060.793970177</v>
      </c>
      <c r="I179" s="36">
        <f t="shared" si="17"/>
        <v>11237060.793970177</v>
      </c>
      <c r="J179" s="19">
        <v>150</v>
      </c>
      <c r="K179" s="19">
        <f>0.02*10*365*7.5</f>
        <v>547.5</v>
      </c>
      <c r="L179" s="19">
        <f>0.08*150*7.5</f>
        <v>90</v>
      </c>
      <c r="M179" s="24">
        <f t="shared" si="18"/>
        <v>8849185375.2515144</v>
      </c>
      <c r="N179" s="36">
        <f t="shared" si="19"/>
        <v>8849185375.2515144</v>
      </c>
      <c r="O179" s="24">
        <v>464220477.24420649</v>
      </c>
      <c r="P179" s="24">
        <f t="shared" si="20"/>
        <v>6963307158.6630974</v>
      </c>
      <c r="Q179" s="23">
        <f t="shared" si="21"/>
        <v>1.2708308241497266</v>
      </c>
      <c r="R179" s="23">
        <f t="shared" si="22"/>
        <v>0.42361027471657547</v>
      </c>
      <c r="S179" s="23">
        <f t="shared" si="23"/>
        <v>3.8124924724491795</v>
      </c>
    </row>
    <row r="180" spans="1:19" ht="15" customHeight="1" x14ac:dyDescent="0.25">
      <c r="A180" s="31" t="s">
        <v>382</v>
      </c>
      <c r="B180" s="31" t="s">
        <v>381</v>
      </c>
      <c r="C180" s="31" t="s">
        <v>29</v>
      </c>
      <c r="D180" s="31" t="s">
        <v>35</v>
      </c>
      <c r="E180" s="30">
        <v>62581</v>
      </c>
      <c r="F180" s="21" t="s">
        <v>232</v>
      </c>
      <c r="G180" s="27">
        <v>26.644402312055828</v>
      </c>
      <c r="H180" s="24">
        <f t="shared" si="16"/>
        <v>16674.333410907657</v>
      </c>
      <c r="I180" s="36">
        <f t="shared" si="17"/>
        <v>16674.333410907657</v>
      </c>
      <c r="J180" s="31">
        <v>150</v>
      </c>
      <c r="K180" s="31">
        <f>0.02*10*365*7.5</f>
        <v>547.5</v>
      </c>
      <c r="L180" s="31">
        <f>0.08*150*7.5</f>
        <v>90</v>
      </c>
      <c r="M180" s="24">
        <f t="shared" si="18"/>
        <v>13131037.56108978</v>
      </c>
      <c r="N180" s="36">
        <f t="shared" si="19"/>
        <v>13131037.56108978</v>
      </c>
      <c r="O180" s="30">
        <v>0</v>
      </c>
      <c r="P180" s="24">
        <f t="shared" si="20"/>
        <v>0</v>
      </c>
      <c r="Q180" s="23" t="e">
        <f t="shared" si="21"/>
        <v>#DIV/0!</v>
      </c>
      <c r="R180" s="23" t="e">
        <f t="shared" si="22"/>
        <v>#DIV/0!</v>
      </c>
      <c r="S180" s="23" t="e">
        <f t="shared" si="23"/>
        <v>#DIV/0!</v>
      </c>
    </row>
    <row r="181" spans="1:19" x14ac:dyDescent="0.25">
      <c r="A181" s="19" t="s">
        <v>384</v>
      </c>
      <c r="B181" s="19" t="s">
        <v>383</v>
      </c>
      <c r="C181" s="19" t="s">
        <v>18</v>
      </c>
      <c r="D181" s="19" t="s">
        <v>35</v>
      </c>
      <c r="E181" s="24">
        <v>201817</v>
      </c>
      <c r="F181" s="21">
        <v>85.1</v>
      </c>
      <c r="G181" s="21">
        <f>100-F181</f>
        <v>14.900000000000006</v>
      </c>
      <c r="H181" s="24">
        <f t="shared" si="16"/>
        <v>30070.733000000011</v>
      </c>
      <c r="I181" s="36">
        <f t="shared" si="17"/>
        <v>30070.733000000011</v>
      </c>
      <c r="J181" s="19">
        <v>150</v>
      </c>
      <c r="K181" s="19">
        <f>0.02*10*365*7.5</f>
        <v>547.5</v>
      </c>
      <c r="L181" s="19">
        <f>0.08*150*7.5</f>
        <v>90</v>
      </c>
      <c r="M181" s="24">
        <f t="shared" si="18"/>
        <v>23680702.237500008</v>
      </c>
      <c r="N181" s="36">
        <f t="shared" si="19"/>
        <v>23680702.237500008</v>
      </c>
      <c r="O181" s="24">
        <v>643469.71291057637</v>
      </c>
      <c r="P181" s="24">
        <f t="shared" si="20"/>
        <v>9652045.6936586462</v>
      </c>
      <c r="Q181" s="23">
        <f t="shared" si="21"/>
        <v>2.4534386791245852</v>
      </c>
      <c r="R181" s="23">
        <f t="shared" si="22"/>
        <v>0.81781289304152838</v>
      </c>
      <c r="S181" s="23">
        <f t="shared" si="23"/>
        <v>7.3603160373737548</v>
      </c>
    </row>
    <row r="182" spans="1:19" s="31" customFormat="1" ht="15" customHeight="1" x14ac:dyDescent="0.25">
      <c r="A182" s="19" t="s">
        <v>386</v>
      </c>
      <c r="B182" s="19" t="s">
        <v>385</v>
      </c>
      <c r="C182" s="19" t="s">
        <v>29</v>
      </c>
      <c r="D182" s="19" t="s">
        <v>35</v>
      </c>
      <c r="E182" s="24" t="s">
        <v>232</v>
      </c>
      <c r="F182" s="21" t="s">
        <v>232</v>
      </c>
      <c r="G182" s="21">
        <v>26.644402312055828</v>
      </c>
      <c r="H182" s="24" t="e">
        <f t="shared" si="16"/>
        <v>#VALUE!</v>
      </c>
      <c r="I182" s="36">
        <f t="shared" si="17"/>
        <v>0</v>
      </c>
      <c r="J182" s="19">
        <v>150</v>
      </c>
      <c r="K182" s="19">
        <f>0.02*10*365*7.5</f>
        <v>547.5</v>
      </c>
      <c r="L182" s="19">
        <f>0.08*150*7.5</f>
        <v>90</v>
      </c>
      <c r="M182" s="24" t="e">
        <f t="shared" si="18"/>
        <v>#VALUE!</v>
      </c>
      <c r="N182" s="36">
        <f t="shared" si="19"/>
        <v>0</v>
      </c>
      <c r="O182" s="24" t="s">
        <v>232</v>
      </c>
      <c r="P182" s="24" t="e">
        <f t="shared" si="20"/>
        <v>#VALUE!</v>
      </c>
      <c r="Q182" s="23" t="e">
        <f t="shared" si="21"/>
        <v>#VALUE!</v>
      </c>
      <c r="R182" s="23" t="e">
        <f t="shared" si="22"/>
        <v>#VALUE!</v>
      </c>
      <c r="S182" s="23" t="e">
        <f t="shared" si="23"/>
        <v>#VALUE!</v>
      </c>
    </row>
    <row r="183" spans="1:19" ht="15" customHeight="1" x14ac:dyDescent="0.25">
      <c r="A183" s="19" t="s">
        <v>388</v>
      </c>
      <c r="B183" s="19" t="s">
        <v>387</v>
      </c>
      <c r="C183" s="19" t="s">
        <v>18</v>
      </c>
      <c r="D183" s="19" t="s">
        <v>35</v>
      </c>
      <c r="E183" s="24">
        <v>110012</v>
      </c>
      <c r="F183" s="21" t="s">
        <v>232</v>
      </c>
      <c r="G183" s="21">
        <v>26.644402312055828</v>
      </c>
      <c r="H183" s="24">
        <f t="shared" si="16"/>
        <v>29312.039871538855</v>
      </c>
      <c r="I183" s="36">
        <f t="shared" si="17"/>
        <v>29312.039871538855</v>
      </c>
      <c r="J183" s="19">
        <v>150</v>
      </c>
      <c r="K183" s="19">
        <f>0.02*10*365*7.5</f>
        <v>547.5</v>
      </c>
      <c r="L183" s="19">
        <f>0.08*150*7.5</f>
        <v>90</v>
      </c>
      <c r="M183" s="24">
        <f t="shared" si="18"/>
        <v>23083231.398836847</v>
      </c>
      <c r="N183" s="36">
        <f t="shared" si="19"/>
        <v>23083231.398836847</v>
      </c>
      <c r="O183" s="24">
        <v>486293.25308693683</v>
      </c>
      <c r="P183" s="24">
        <f t="shared" si="20"/>
        <v>7294398.7963040527</v>
      </c>
      <c r="Q183" s="23">
        <f t="shared" si="21"/>
        <v>3.1645145876220431</v>
      </c>
      <c r="R183" s="23">
        <f t="shared" si="22"/>
        <v>1.0548381958740145</v>
      </c>
      <c r="S183" s="23">
        <f t="shared" si="23"/>
        <v>9.4935437628661283</v>
      </c>
    </row>
    <row r="184" spans="1:19" ht="15" customHeight="1" x14ac:dyDescent="0.25">
      <c r="A184" s="19" t="s">
        <v>390</v>
      </c>
      <c r="B184" s="19" t="s">
        <v>389</v>
      </c>
      <c r="C184" s="19" t="s">
        <v>40</v>
      </c>
      <c r="D184" s="19" t="s">
        <v>32</v>
      </c>
      <c r="E184" s="24">
        <v>55077835</v>
      </c>
      <c r="F184" s="21" t="s">
        <v>232</v>
      </c>
      <c r="G184" s="21">
        <v>59.651025134275415</v>
      </c>
      <c r="H184" s="24">
        <f t="shared" si="16"/>
        <v>32854493.199264742</v>
      </c>
      <c r="I184" s="36">
        <f t="shared" si="17"/>
        <v>32854493.199264742</v>
      </c>
      <c r="J184" s="19">
        <v>150</v>
      </c>
      <c r="K184" s="19">
        <f>0.02*10*365*7.5</f>
        <v>547.5</v>
      </c>
      <c r="L184" s="19">
        <f>0.08*150*7.5</f>
        <v>90</v>
      </c>
      <c r="M184" s="24">
        <f t="shared" si="18"/>
        <v>25872913394.420986</v>
      </c>
      <c r="N184" s="36">
        <f t="shared" si="19"/>
        <v>25872913394.420986</v>
      </c>
      <c r="O184" s="24">
        <v>11997149674.977474</v>
      </c>
      <c r="P184" s="24">
        <f t="shared" si="20"/>
        <v>179957245124.66211</v>
      </c>
      <c r="Q184" s="23">
        <f t="shared" si="21"/>
        <v>0.14377255762332877</v>
      </c>
      <c r="R184" s="23">
        <f t="shared" si="22"/>
        <v>4.7924185874442929E-2</v>
      </c>
      <c r="S184" s="23">
        <f t="shared" si="23"/>
        <v>0.43131767286998635</v>
      </c>
    </row>
    <row r="185" spans="1:19" s="31" customFormat="1" ht="15" customHeight="1" x14ac:dyDescent="0.25">
      <c r="A185" s="19" t="s">
        <v>392</v>
      </c>
      <c r="B185" s="19" t="s">
        <v>391</v>
      </c>
      <c r="C185" s="19" t="s">
        <v>18</v>
      </c>
      <c r="D185" s="19" t="s">
        <v>35</v>
      </c>
      <c r="E185" s="24">
        <v>603805</v>
      </c>
      <c r="F185" s="21">
        <v>92.544064210000002</v>
      </c>
      <c r="G185" s="21">
        <f>100-F185</f>
        <v>7.4559357899999981</v>
      </c>
      <c r="H185" s="24">
        <f t="shared" si="16"/>
        <v>45019.313096809492</v>
      </c>
      <c r="I185" s="36">
        <f t="shared" si="17"/>
        <v>45019.313096809492</v>
      </c>
      <c r="J185" s="19">
        <v>150</v>
      </c>
      <c r="K185" s="19">
        <f>0.02*10*365*7.5</f>
        <v>547.5</v>
      </c>
      <c r="L185" s="19">
        <f>0.08*150*7.5</f>
        <v>90</v>
      </c>
      <c r="M185" s="24">
        <f t="shared" si="18"/>
        <v>35452709.063737474</v>
      </c>
      <c r="N185" s="36">
        <f t="shared" si="19"/>
        <v>35452709.063737474</v>
      </c>
      <c r="O185" s="24">
        <v>608902361.97083366</v>
      </c>
      <c r="P185" s="24">
        <f t="shared" si="20"/>
        <v>9133535429.5625057</v>
      </c>
      <c r="Q185" s="23">
        <f t="shared" si="21"/>
        <v>3.8815975847630397E-3</v>
      </c>
      <c r="R185" s="23">
        <f t="shared" si="22"/>
        <v>1.2938658615876801E-3</v>
      </c>
      <c r="S185" s="23">
        <f t="shared" si="23"/>
        <v>1.1644792754289118E-2</v>
      </c>
    </row>
    <row r="186" spans="1:19" s="31" customFormat="1" ht="15" customHeight="1" x14ac:dyDescent="0.25">
      <c r="A186" s="19" t="s">
        <v>394</v>
      </c>
      <c r="B186" s="19" t="s">
        <v>393</v>
      </c>
      <c r="C186" s="19" t="s">
        <v>40</v>
      </c>
      <c r="D186" s="19" t="s">
        <v>32</v>
      </c>
      <c r="E186" s="24">
        <v>1515527</v>
      </c>
      <c r="F186" s="21">
        <v>60.3</v>
      </c>
      <c r="G186" s="21">
        <f>100-F186</f>
        <v>39.700000000000003</v>
      </c>
      <c r="H186" s="24">
        <f t="shared" si="16"/>
        <v>601664.21900000004</v>
      </c>
      <c r="I186" s="36">
        <f t="shared" si="17"/>
        <v>601664.21900000004</v>
      </c>
      <c r="J186" s="19">
        <v>150</v>
      </c>
      <c r="K186" s="19">
        <f>0.02*10*365*7.5</f>
        <v>547.5</v>
      </c>
      <c r="L186" s="19">
        <f>0.08*150*7.5</f>
        <v>90</v>
      </c>
      <c r="M186" s="24">
        <f t="shared" si="18"/>
        <v>473810572.46250004</v>
      </c>
      <c r="N186" s="36">
        <f t="shared" si="19"/>
        <v>473810572.46250004</v>
      </c>
      <c r="O186" s="24">
        <v>92945139.393425897</v>
      </c>
      <c r="P186" s="24">
        <f t="shared" si="20"/>
        <v>1394177090.9013884</v>
      </c>
      <c r="Q186" s="23">
        <f t="shared" si="21"/>
        <v>0.33984963284410558</v>
      </c>
      <c r="R186" s="23">
        <f t="shared" si="22"/>
        <v>0.11328321094803519</v>
      </c>
      <c r="S186" s="23">
        <f t="shared" si="23"/>
        <v>1.0195488985323167</v>
      </c>
    </row>
    <row r="187" spans="1:19" ht="15" customHeight="1" x14ac:dyDescent="0.25">
      <c r="A187" s="19" t="s">
        <v>396</v>
      </c>
      <c r="B187" s="19" t="s">
        <v>395</v>
      </c>
      <c r="C187" s="19" t="s">
        <v>45</v>
      </c>
      <c r="D187" s="19" t="s">
        <v>19</v>
      </c>
      <c r="E187" s="24">
        <v>10690986</v>
      </c>
      <c r="F187" s="21">
        <v>95</v>
      </c>
      <c r="G187" s="21">
        <f>100-F187</f>
        <v>5</v>
      </c>
      <c r="H187" s="24">
        <f t="shared" si="16"/>
        <v>534549.30000000005</v>
      </c>
      <c r="I187" s="36">
        <f t="shared" si="17"/>
        <v>534549.30000000005</v>
      </c>
      <c r="J187" s="19">
        <v>150</v>
      </c>
      <c r="K187" s="19">
        <f>0.02*10*365*7.5</f>
        <v>547.5</v>
      </c>
      <c r="L187" s="19">
        <f>0.08*150*7.5</f>
        <v>90</v>
      </c>
      <c r="M187" s="24">
        <f t="shared" si="18"/>
        <v>420957573.75000006</v>
      </c>
      <c r="N187" s="36">
        <f t="shared" si="19"/>
        <v>420957573.75000006</v>
      </c>
      <c r="O187" s="24">
        <v>6600024142.4592056</v>
      </c>
      <c r="P187" s="24">
        <f t="shared" si="20"/>
        <v>99000362136.888092</v>
      </c>
      <c r="Q187" s="23">
        <f t="shared" si="21"/>
        <v>4.2520811506521639E-3</v>
      </c>
      <c r="R187" s="23">
        <f t="shared" si="22"/>
        <v>1.4173603835507212E-3</v>
      </c>
      <c r="S187" s="23">
        <f t="shared" si="23"/>
        <v>1.2756243451956494E-2</v>
      </c>
    </row>
    <row r="188" spans="1:19" ht="15" customHeight="1" x14ac:dyDescent="0.25">
      <c r="A188" s="19" t="s">
        <v>398</v>
      </c>
      <c r="B188" s="19" t="s">
        <v>397</v>
      </c>
      <c r="C188" s="19" t="s">
        <v>45</v>
      </c>
      <c r="D188" s="19" t="s">
        <v>19</v>
      </c>
      <c r="E188" s="24">
        <v>9477452</v>
      </c>
      <c r="F188" s="21">
        <v>99</v>
      </c>
      <c r="G188" s="21">
        <f>100-F188</f>
        <v>1</v>
      </c>
      <c r="H188" s="24">
        <f t="shared" si="16"/>
        <v>94774.52</v>
      </c>
      <c r="I188" s="36">
        <f t="shared" si="17"/>
        <v>94774.52</v>
      </c>
      <c r="J188" s="19">
        <v>150</v>
      </c>
      <c r="K188" s="19">
        <f>0.02*10*365*7.5</f>
        <v>547.5</v>
      </c>
      <c r="L188" s="19">
        <f>0.08*150*7.5</f>
        <v>90</v>
      </c>
      <c r="M188" s="24">
        <f t="shared" si="18"/>
        <v>74634934.5</v>
      </c>
      <c r="N188" s="36">
        <f t="shared" si="19"/>
        <v>74634934.5</v>
      </c>
      <c r="O188" s="24">
        <v>278578079.29358196</v>
      </c>
      <c r="P188" s="24">
        <f t="shared" si="20"/>
        <v>4178671189.4037294</v>
      </c>
      <c r="Q188" s="23">
        <f t="shared" si="21"/>
        <v>1.7860925427504129E-2</v>
      </c>
      <c r="R188" s="23">
        <f t="shared" si="22"/>
        <v>5.9536418091680433E-3</v>
      </c>
      <c r="S188" s="23">
        <f t="shared" si="23"/>
        <v>5.3582776282512394E-2</v>
      </c>
    </row>
    <row r="189" spans="1:19" ht="15" customHeight="1" x14ac:dyDescent="0.25">
      <c r="A189" s="19" t="s">
        <v>400</v>
      </c>
      <c r="B189" s="19" t="s">
        <v>399</v>
      </c>
      <c r="C189" s="19" t="s">
        <v>40</v>
      </c>
      <c r="D189" s="19" t="s">
        <v>22</v>
      </c>
      <c r="E189" s="24">
        <v>29933865</v>
      </c>
      <c r="F189" s="21" t="s">
        <v>232</v>
      </c>
      <c r="G189" s="21">
        <v>14.937753881111108</v>
      </c>
      <c r="H189" s="24">
        <f t="shared" si="16"/>
        <v>4471447.0808040593</v>
      </c>
      <c r="I189" s="36">
        <f t="shared" si="17"/>
        <v>4471447.0808040593</v>
      </c>
      <c r="J189" s="19">
        <v>150</v>
      </c>
      <c r="K189" s="19">
        <f>0.02*10*365*7.5</f>
        <v>547.5</v>
      </c>
      <c r="L189" s="19">
        <f>0.08*150*7.5</f>
        <v>90</v>
      </c>
      <c r="M189" s="24">
        <f t="shared" si="18"/>
        <v>3521264576.1331968</v>
      </c>
      <c r="N189" s="36">
        <f t="shared" si="19"/>
        <v>3521264576.1331968</v>
      </c>
      <c r="O189" s="24" t="s">
        <v>232</v>
      </c>
      <c r="P189" s="24" t="e">
        <f t="shared" si="20"/>
        <v>#VALUE!</v>
      </c>
      <c r="Q189" s="23" t="e">
        <f t="shared" si="21"/>
        <v>#VALUE!</v>
      </c>
      <c r="R189" s="23" t="e">
        <f t="shared" si="22"/>
        <v>#VALUE!</v>
      </c>
      <c r="S189" s="23" t="e">
        <f t="shared" si="23"/>
        <v>#VALUE!</v>
      </c>
    </row>
    <row r="190" spans="1:19" ht="15" customHeight="1" x14ac:dyDescent="0.25">
      <c r="A190" s="19" t="s">
        <v>402</v>
      </c>
      <c r="B190" s="19" t="s">
        <v>401</v>
      </c>
      <c r="C190" s="19" t="s">
        <v>14</v>
      </c>
      <c r="D190" s="19" t="s">
        <v>19</v>
      </c>
      <c r="E190" s="24">
        <v>11407028</v>
      </c>
      <c r="F190" s="21" t="s">
        <v>232</v>
      </c>
      <c r="G190" s="21">
        <v>14.792992315545245</v>
      </c>
      <c r="H190" s="24">
        <f t="shared" si="16"/>
        <v>1687440.7754720943</v>
      </c>
      <c r="I190" s="36">
        <f t="shared" si="17"/>
        <v>1687440.7754720943</v>
      </c>
      <c r="J190" s="19">
        <v>150</v>
      </c>
      <c r="K190" s="19">
        <f>0.02*10*365*7.5</f>
        <v>547.5</v>
      </c>
      <c r="L190" s="19">
        <f>0.08*150*7.5</f>
        <v>90</v>
      </c>
      <c r="M190" s="24">
        <f t="shared" si="18"/>
        <v>1328859610.6842742</v>
      </c>
      <c r="N190" s="36">
        <f t="shared" si="19"/>
        <v>1328859610.6842742</v>
      </c>
      <c r="O190" s="24">
        <v>89930664.353367537</v>
      </c>
      <c r="P190" s="24">
        <f t="shared" si="20"/>
        <v>1348959965.300513</v>
      </c>
      <c r="Q190" s="23">
        <f t="shared" si="21"/>
        <v>0.98509936904483231</v>
      </c>
      <c r="R190" s="23">
        <f t="shared" si="22"/>
        <v>0.32836645634827744</v>
      </c>
      <c r="S190" s="23">
        <f t="shared" si="23"/>
        <v>2.9552981071344968</v>
      </c>
    </row>
    <row r="191" spans="1:19" ht="15" customHeight="1" x14ac:dyDescent="0.25">
      <c r="A191" s="19" t="s">
        <v>404</v>
      </c>
      <c r="B191" s="19" t="s">
        <v>403</v>
      </c>
      <c r="C191" s="19" t="s">
        <v>14</v>
      </c>
      <c r="D191" s="19" t="s">
        <v>32</v>
      </c>
      <c r="E191" s="24">
        <v>79354326</v>
      </c>
      <c r="F191" s="21">
        <v>36.203333333327386</v>
      </c>
      <c r="G191" s="21">
        <f>100-F191</f>
        <v>63.796666666672614</v>
      </c>
      <c r="H191" s="24">
        <f t="shared" si="16"/>
        <v>50625414.843804725</v>
      </c>
      <c r="I191" s="36">
        <f t="shared" si="17"/>
        <v>50625414.843804725</v>
      </c>
      <c r="J191" s="19">
        <v>150</v>
      </c>
      <c r="K191" s="19">
        <f>0.02*10*365*7.5</f>
        <v>547.5</v>
      </c>
      <c r="L191" s="19">
        <f>0.08*150*7.5</f>
        <v>90</v>
      </c>
      <c r="M191" s="24">
        <f t="shared" si="18"/>
        <v>39867514189.496223</v>
      </c>
      <c r="N191" s="36">
        <f t="shared" si="19"/>
        <v>39867514189.496223</v>
      </c>
      <c r="O191" s="24">
        <v>2569147998.6777964</v>
      </c>
      <c r="P191" s="24">
        <f t="shared" si="20"/>
        <v>38537219980.166946</v>
      </c>
      <c r="Q191" s="23">
        <f t="shared" si="21"/>
        <v>1.0345197243084454</v>
      </c>
      <c r="R191" s="23">
        <f t="shared" si="22"/>
        <v>0.34483990810281512</v>
      </c>
      <c r="S191" s="23">
        <f t="shared" si="23"/>
        <v>3.1035591729253365</v>
      </c>
    </row>
    <row r="192" spans="1:19" ht="15" customHeight="1" x14ac:dyDescent="0.25">
      <c r="A192" s="19" t="s">
        <v>406</v>
      </c>
      <c r="B192" s="19" t="s">
        <v>405</v>
      </c>
      <c r="C192" s="19" t="s">
        <v>18</v>
      </c>
      <c r="D192" s="19" t="s">
        <v>26</v>
      </c>
      <c r="E192" s="24">
        <v>67554088</v>
      </c>
      <c r="F192" s="21">
        <v>90.245686300000003</v>
      </c>
      <c r="G192" s="21">
        <f>100-F192</f>
        <v>9.7543136999999973</v>
      </c>
      <c r="H192" s="24">
        <f t="shared" si="16"/>
        <v>6589437.6606940543</v>
      </c>
      <c r="I192" s="36">
        <f t="shared" si="17"/>
        <v>6589437.6606940543</v>
      </c>
      <c r="J192" s="19">
        <v>150</v>
      </c>
      <c r="K192" s="19">
        <f>0.02*10*365*7.5</f>
        <v>547.5</v>
      </c>
      <c r="L192" s="19">
        <f>0.08*150*7.5</f>
        <v>90</v>
      </c>
      <c r="M192" s="24">
        <f t="shared" si="18"/>
        <v>5189182157.7965679</v>
      </c>
      <c r="N192" s="36">
        <f t="shared" si="19"/>
        <v>5189182157.7965679</v>
      </c>
      <c r="O192" s="24">
        <v>13671322551.946495</v>
      </c>
      <c r="P192" s="24">
        <f t="shared" si="20"/>
        <v>205069838279.19742</v>
      </c>
      <c r="Q192" s="23">
        <f t="shared" si="21"/>
        <v>2.5304463110424006E-2</v>
      </c>
      <c r="R192" s="23">
        <f t="shared" si="22"/>
        <v>8.4348210368080014E-3</v>
      </c>
      <c r="S192" s="23">
        <f t="shared" si="23"/>
        <v>7.5913389331272021E-2</v>
      </c>
    </row>
    <row r="193" spans="1:19" ht="15" customHeight="1" x14ac:dyDescent="0.25">
      <c r="A193" s="19" t="s">
        <v>408</v>
      </c>
      <c r="B193" s="19" t="s">
        <v>407</v>
      </c>
      <c r="C193" s="19" t="s">
        <v>40</v>
      </c>
      <c r="D193" s="19" t="s">
        <v>26</v>
      </c>
      <c r="E193" s="24">
        <v>1555457</v>
      </c>
      <c r="F193" s="21" t="s">
        <v>232</v>
      </c>
      <c r="G193" s="21">
        <v>31.129346349193881</v>
      </c>
      <c r="H193" s="24">
        <f t="shared" si="16"/>
        <v>484203.59684278065</v>
      </c>
      <c r="I193" s="36">
        <f t="shared" si="17"/>
        <v>484203.59684278065</v>
      </c>
      <c r="J193" s="19">
        <v>150</v>
      </c>
      <c r="K193" s="19">
        <f>0.02*10*365*7.5</f>
        <v>547.5</v>
      </c>
      <c r="L193" s="19">
        <f>0.08*150*7.5</f>
        <v>90</v>
      </c>
      <c r="M193" s="24">
        <f t="shared" si="18"/>
        <v>381310332.51368976</v>
      </c>
      <c r="N193" s="36">
        <f t="shared" si="19"/>
        <v>381310332.51368976</v>
      </c>
      <c r="O193" s="24">
        <v>6029932.4922673218</v>
      </c>
      <c r="P193" s="24">
        <f t="shared" si="20"/>
        <v>90448987.384009823</v>
      </c>
      <c r="Q193" s="23">
        <f t="shared" si="21"/>
        <v>4.2157501542256108</v>
      </c>
      <c r="R193" s="23">
        <f t="shared" si="22"/>
        <v>1.4052500514085371</v>
      </c>
      <c r="S193" s="23">
        <f t="shared" si="23"/>
        <v>12.647250462676833</v>
      </c>
    </row>
    <row r="194" spans="1:19" s="31" customFormat="1" ht="15" customHeight="1" x14ac:dyDescent="0.25">
      <c r="A194" s="19" t="s">
        <v>410</v>
      </c>
      <c r="B194" s="19" t="s">
        <v>409</v>
      </c>
      <c r="C194" s="19" t="s">
        <v>14</v>
      </c>
      <c r="D194" s="19" t="s">
        <v>32</v>
      </c>
      <c r="E194" s="24">
        <v>10014965</v>
      </c>
      <c r="F194" s="21">
        <v>22</v>
      </c>
      <c r="G194" s="21">
        <f>100-F194</f>
        <v>78</v>
      </c>
      <c r="H194" s="24">
        <f t="shared" si="16"/>
        <v>7811672.7000000002</v>
      </c>
      <c r="I194" s="36">
        <f t="shared" si="17"/>
        <v>7811672.7000000002</v>
      </c>
      <c r="J194" s="19">
        <v>150</v>
      </c>
      <c r="K194" s="19">
        <f>0.02*10*365*7.5</f>
        <v>547.5</v>
      </c>
      <c r="L194" s="19">
        <f>0.08*150*7.5</f>
        <v>90</v>
      </c>
      <c r="M194" s="24">
        <f t="shared" si="18"/>
        <v>6151692251.25</v>
      </c>
      <c r="N194" s="36">
        <f t="shared" si="19"/>
        <v>6151692251.25</v>
      </c>
      <c r="O194" s="24">
        <v>289914233.93356359</v>
      </c>
      <c r="P194" s="24">
        <f t="shared" si="20"/>
        <v>4348713509.0034542</v>
      </c>
      <c r="Q194" s="23">
        <f t="shared" si="21"/>
        <v>1.4146004878255856</v>
      </c>
      <c r="R194" s="23">
        <f t="shared" si="22"/>
        <v>0.47153349594186184</v>
      </c>
      <c r="S194" s="23">
        <f t="shared" si="23"/>
        <v>4.2438014634767569</v>
      </c>
    </row>
    <row r="195" spans="1:19" ht="15" customHeight="1" x14ac:dyDescent="0.25">
      <c r="A195" s="19" t="s">
        <v>412</v>
      </c>
      <c r="B195" s="19" t="s">
        <v>411</v>
      </c>
      <c r="C195" s="19" t="s">
        <v>18</v>
      </c>
      <c r="D195" s="19" t="s">
        <v>26</v>
      </c>
      <c r="E195" s="24">
        <v>120995</v>
      </c>
      <c r="F195" s="21" t="s">
        <v>232</v>
      </c>
      <c r="G195" s="21">
        <v>31.129346349193881</v>
      </c>
      <c r="H195" s="24">
        <f t="shared" si="16"/>
        <v>37664.952615207134</v>
      </c>
      <c r="I195" s="36">
        <f t="shared" si="17"/>
        <v>37664.952615207134</v>
      </c>
      <c r="J195" s="19">
        <v>150</v>
      </c>
      <c r="K195" s="19">
        <f>0.02*10*365*7.5</f>
        <v>547.5</v>
      </c>
      <c r="L195" s="19">
        <f>0.08*150*7.5</f>
        <v>90</v>
      </c>
      <c r="M195" s="24">
        <f t="shared" si="18"/>
        <v>29661150.184475619</v>
      </c>
      <c r="N195" s="36">
        <f t="shared" si="19"/>
        <v>29661150.184475619</v>
      </c>
      <c r="O195" s="24">
        <v>258294.04268454493</v>
      </c>
      <c r="P195" s="24">
        <f t="shared" si="20"/>
        <v>3874410.640268174</v>
      </c>
      <c r="Q195" s="23">
        <f t="shared" si="21"/>
        <v>7.6556547404130013</v>
      </c>
      <c r="R195" s="23">
        <f t="shared" si="22"/>
        <v>2.5518849134710004</v>
      </c>
      <c r="S195" s="23">
        <f t="shared" si="23"/>
        <v>22.966964221239007</v>
      </c>
    </row>
    <row r="196" spans="1:19" ht="15" customHeight="1" x14ac:dyDescent="0.25">
      <c r="A196" s="19" t="s">
        <v>414</v>
      </c>
      <c r="B196" s="19" t="s">
        <v>413</v>
      </c>
      <c r="C196" s="19" t="s">
        <v>29</v>
      </c>
      <c r="D196" s="19" t="s">
        <v>35</v>
      </c>
      <c r="E196" s="24">
        <v>1307826</v>
      </c>
      <c r="F196" s="21" t="s">
        <v>232</v>
      </c>
      <c r="G196" s="21">
        <v>26.644402312055828</v>
      </c>
      <c r="H196" s="24">
        <f t="shared" ref="H196:H216" si="24">(G196/100)*E196</f>
        <v>348462.42098166724</v>
      </c>
      <c r="I196" s="36">
        <f t="shared" ref="I196:I216" si="25">IFERROR(H196,0)</f>
        <v>348462.42098166724</v>
      </c>
      <c r="J196" s="19">
        <v>150</v>
      </c>
      <c r="K196" s="19">
        <f>0.02*10*365*7.5</f>
        <v>547.5</v>
      </c>
      <c r="L196" s="19">
        <f>0.08*150*7.5</f>
        <v>90</v>
      </c>
      <c r="M196" s="24">
        <f t="shared" ref="M196:M216" si="26">(J196+K196+L196)*H196</f>
        <v>274414156.52306294</v>
      </c>
      <c r="N196" s="36">
        <f t="shared" ref="N196:N216" si="27">IFERROR(M196,0)</f>
        <v>274414156.52306294</v>
      </c>
      <c r="O196" s="24">
        <v>8121778589.9499531</v>
      </c>
      <c r="P196" s="24">
        <f t="shared" ref="P196:P216" si="28">O196*15</f>
        <v>121826678849.2493</v>
      </c>
      <c r="Q196" s="23">
        <f t="shared" ref="Q196:Q216" si="29">M196/P196</f>
        <v>2.2524964081359253E-3</v>
      </c>
      <c r="R196" s="23">
        <f t="shared" ref="R196:R216" si="30">(M196/2)/(P196*1.5)</f>
        <v>7.5083213604530837E-4</v>
      </c>
      <c r="S196" s="23">
        <f t="shared" ref="S196:S216" si="31">(M196*1.5)/(P196/2)</f>
        <v>6.7574892244077756E-3</v>
      </c>
    </row>
    <row r="197" spans="1:19" ht="15" customHeight="1" x14ac:dyDescent="0.25">
      <c r="A197" s="19" t="s">
        <v>416</v>
      </c>
      <c r="B197" s="19" t="s">
        <v>415</v>
      </c>
      <c r="C197" s="19" t="s">
        <v>18</v>
      </c>
      <c r="D197" s="19" t="s">
        <v>22</v>
      </c>
      <c r="E197" s="24">
        <v>12561225</v>
      </c>
      <c r="F197" s="21">
        <v>91.6</v>
      </c>
      <c r="G197" s="21">
        <f>100-F197</f>
        <v>8.4000000000000057</v>
      </c>
      <c r="H197" s="24">
        <f t="shared" si="24"/>
        <v>1055142.9000000008</v>
      </c>
      <c r="I197" s="36">
        <f t="shared" si="25"/>
        <v>1055142.9000000008</v>
      </c>
      <c r="J197" s="19">
        <v>150</v>
      </c>
      <c r="K197" s="19">
        <f>0.02*10*365*7.5</f>
        <v>547.5</v>
      </c>
      <c r="L197" s="19">
        <f>0.08*150*7.5</f>
        <v>90</v>
      </c>
      <c r="M197" s="24">
        <f t="shared" si="26"/>
        <v>830925033.75000072</v>
      </c>
      <c r="N197" s="36">
        <f t="shared" si="27"/>
        <v>830925033.75000072</v>
      </c>
      <c r="O197" s="24">
        <v>2923132889.5717616</v>
      </c>
      <c r="P197" s="24">
        <f t="shared" si="28"/>
        <v>43846993343.576424</v>
      </c>
      <c r="Q197" s="23">
        <f t="shared" si="29"/>
        <v>1.8950558986771008E-2</v>
      </c>
      <c r="R197" s="23">
        <f t="shared" si="30"/>
        <v>6.3168529955903354E-3</v>
      </c>
      <c r="S197" s="23">
        <f t="shared" si="31"/>
        <v>5.6851676960313013E-2</v>
      </c>
    </row>
    <row r="198" spans="1:19" ht="15" customHeight="1" x14ac:dyDescent="0.25">
      <c r="A198" s="19" t="s">
        <v>418</v>
      </c>
      <c r="B198" s="19" t="s">
        <v>417</v>
      </c>
      <c r="C198" s="19" t="s">
        <v>18</v>
      </c>
      <c r="D198" s="19" t="s">
        <v>19</v>
      </c>
      <c r="E198" s="24">
        <v>86825345</v>
      </c>
      <c r="F198" s="21">
        <v>69.830379030000003</v>
      </c>
      <c r="G198" s="21">
        <f>100-F198</f>
        <v>30.169620969999997</v>
      </c>
      <c r="H198" s="24">
        <f t="shared" si="24"/>
        <v>26194877.492394846</v>
      </c>
      <c r="I198" s="36">
        <f t="shared" si="25"/>
        <v>26194877.492394846</v>
      </c>
      <c r="J198" s="19">
        <v>150</v>
      </c>
      <c r="K198" s="19">
        <f>0.02*10*365*7.5</f>
        <v>547.5</v>
      </c>
      <c r="L198" s="19">
        <f>0.08*150*7.5</f>
        <v>90</v>
      </c>
      <c r="M198" s="24">
        <f t="shared" si="26"/>
        <v>20628466025.260941</v>
      </c>
      <c r="N198" s="36">
        <f t="shared" si="27"/>
        <v>20628466025.260941</v>
      </c>
      <c r="O198" s="24">
        <v>4369682103.2413588</v>
      </c>
      <c r="P198" s="24">
        <f t="shared" si="28"/>
        <v>65545231548.620384</v>
      </c>
      <c r="Q198" s="23">
        <f t="shared" si="29"/>
        <v>0.31472107944205036</v>
      </c>
      <c r="R198" s="23">
        <f t="shared" si="30"/>
        <v>0.10490702648068345</v>
      </c>
      <c r="S198" s="23">
        <f t="shared" si="31"/>
        <v>0.94416323832615101</v>
      </c>
    </row>
    <row r="199" spans="1:19" s="31" customFormat="1" ht="15" customHeight="1" x14ac:dyDescent="0.25">
      <c r="A199" s="19" t="s">
        <v>420</v>
      </c>
      <c r="B199" s="19" t="s">
        <v>419</v>
      </c>
      <c r="C199" s="19" t="s">
        <v>18</v>
      </c>
      <c r="D199" s="19" t="s">
        <v>19</v>
      </c>
      <c r="E199" s="24">
        <v>6159875</v>
      </c>
      <c r="F199" s="21">
        <v>41.9</v>
      </c>
      <c r="G199" s="21">
        <f>100-F199</f>
        <v>58.1</v>
      </c>
      <c r="H199" s="24">
        <f t="shared" si="24"/>
        <v>3578887.3749999995</v>
      </c>
      <c r="I199" s="36">
        <f t="shared" si="25"/>
        <v>3578887.3749999995</v>
      </c>
      <c r="J199" s="19">
        <v>150</v>
      </c>
      <c r="K199" s="19">
        <f>0.02*10*365*7.5</f>
        <v>547.5</v>
      </c>
      <c r="L199" s="19">
        <f>0.08*150*7.5</f>
        <v>90</v>
      </c>
      <c r="M199" s="24">
        <f t="shared" si="26"/>
        <v>2818373807.8124995</v>
      </c>
      <c r="N199" s="36">
        <f t="shared" si="27"/>
        <v>2818373807.8124995</v>
      </c>
      <c r="O199" s="24">
        <v>8829721321.8512516</v>
      </c>
      <c r="P199" s="24">
        <f t="shared" si="28"/>
        <v>132445819827.76877</v>
      </c>
      <c r="Q199" s="23">
        <f t="shared" si="29"/>
        <v>2.127944703334152E-2</v>
      </c>
      <c r="R199" s="23">
        <f t="shared" si="30"/>
        <v>7.0931490111138407E-3</v>
      </c>
      <c r="S199" s="23">
        <f t="shared" si="31"/>
        <v>6.3838341100024551E-2</v>
      </c>
    </row>
    <row r="200" spans="1:19" s="31" customFormat="1" ht="15" customHeight="1" x14ac:dyDescent="0.25">
      <c r="A200" s="19" t="s">
        <v>422</v>
      </c>
      <c r="B200" s="19" t="s">
        <v>421</v>
      </c>
      <c r="C200" s="19" t="s">
        <v>29</v>
      </c>
      <c r="D200" s="19" t="s">
        <v>35</v>
      </c>
      <c r="E200" s="24">
        <v>40698</v>
      </c>
      <c r="F200" s="21" t="s">
        <v>232</v>
      </c>
      <c r="G200" s="21">
        <v>26.644402312055828</v>
      </c>
      <c r="H200" s="24">
        <f t="shared" si="24"/>
        <v>10843.73885296048</v>
      </c>
      <c r="I200" s="36">
        <f t="shared" si="25"/>
        <v>10843.73885296048</v>
      </c>
      <c r="J200" s="19">
        <v>150</v>
      </c>
      <c r="K200" s="19">
        <f>0.02*10*365*7.5</f>
        <v>547.5</v>
      </c>
      <c r="L200" s="19">
        <f>0.08*150*7.5</f>
        <v>90</v>
      </c>
      <c r="M200" s="24">
        <f t="shared" si="26"/>
        <v>8539444.3467063773</v>
      </c>
      <c r="N200" s="36">
        <f t="shared" si="27"/>
        <v>8539444.3467063773</v>
      </c>
      <c r="O200" s="24" t="s">
        <v>232</v>
      </c>
      <c r="P200" s="24" t="e">
        <f t="shared" si="28"/>
        <v>#VALUE!</v>
      </c>
      <c r="Q200" s="23" t="e">
        <f t="shared" si="29"/>
        <v>#VALUE!</v>
      </c>
      <c r="R200" s="23" t="e">
        <f t="shared" si="30"/>
        <v>#VALUE!</v>
      </c>
      <c r="S200" s="23" t="e">
        <f t="shared" si="31"/>
        <v>#VALUE!</v>
      </c>
    </row>
    <row r="201" spans="1:19" ht="15" customHeight="1" x14ac:dyDescent="0.25">
      <c r="A201" s="31" t="s">
        <v>424</v>
      </c>
      <c r="B201" s="31" t="s">
        <v>423</v>
      </c>
      <c r="C201" s="31" t="s">
        <v>18</v>
      </c>
      <c r="D201" s="31" t="s">
        <v>26</v>
      </c>
      <c r="E201" s="30">
        <v>10707</v>
      </c>
      <c r="F201" s="27">
        <v>21</v>
      </c>
      <c r="G201" s="27">
        <f>100-F201</f>
        <v>79</v>
      </c>
      <c r="H201" s="24">
        <f t="shared" si="24"/>
        <v>8458.5300000000007</v>
      </c>
      <c r="I201" s="36">
        <f t="shared" si="25"/>
        <v>8458.5300000000007</v>
      </c>
      <c r="J201" s="31">
        <v>150</v>
      </c>
      <c r="K201" s="31">
        <f>0.02*10*365*7.5</f>
        <v>547.5</v>
      </c>
      <c r="L201" s="31">
        <f>0.08*150*7.5</f>
        <v>90</v>
      </c>
      <c r="M201" s="24">
        <f t="shared" si="26"/>
        <v>6661092.3750000009</v>
      </c>
      <c r="N201" s="36">
        <f t="shared" si="27"/>
        <v>6661092.3750000009</v>
      </c>
      <c r="O201" s="30">
        <v>0</v>
      </c>
      <c r="P201" s="24">
        <f t="shared" si="28"/>
        <v>0</v>
      </c>
      <c r="Q201" s="23" t="e">
        <f t="shared" si="29"/>
        <v>#DIV/0!</v>
      </c>
      <c r="R201" s="23" t="e">
        <f t="shared" si="30"/>
        <v>#DIV/0!</v>
      </c>
      <c r="S201" s="23" t="e">
        <f t="shared" si="31"/>
        <v>#DIV/0!</v>
      </c>
    </row>
    <row r="202" spans="1:19" ht="15" customHeight="1" x14ac:dyDescent="0.25">
      <c r="A202" s="19" t="s">
        <v>426</v>
      </c>
      <c r="B202" s="19" t="s">
        <v>425</v>
      </c>
      <c r="C202" s="19" t="s">
        <v>14</v>
      </c>
      <c r="D202" s="19" t="s">
        <v>32</v>
      </c>
      <c r="E202" s="24">
        <v>63387713</v>
      </c>
      <c r="F202" s="21">
        <v>16.399999999999999</v>
      </c>
      <c r="G202" s="21">
        <f>100-F202</f>
        <v>83.6</v>
      </c>
      <c r="H202" s="24">
        <f t="shared" si="24"/>
        <v>52992128.067999996</v>
      </c>
      <c r="I202" s="36">
        <f t="shared" si="25"/>
        <v>52992128.067999996</v>
      </c>
      <c r="J202" s="19">
        <v>150</v>
      </c>
      <c r="K202" s="19">
        <f>0.02*10*365*7.5</f>
        <v>547.5</v>
      </c>
      <c r="L202" s="19">
        <f>0.08*150*7.5</f>
        <v>90</v>
      </c>
      <c r="M202" s="24">
        <f t="shared" si="26"/>
        <v>41731300853.549995</v>
      </c>
      <c r="N202" s="36">
        <f t="shared" si="27"/>
        <v>41731300853.549995</v>
      </c>
      <c r="O202" s="24">
        <v>2346264440.3663912</v>
      </c>
      <c r="P202" s="24">
        <f t="shared" si="28"/>
        <v>35193966605.495865</v>
      </c>
      <c r="Q202" s="23">
        <f t="shared" si="29"/>
        <v>1.1857515613779455</v>
      </c>
      <c r="R202" s="23">
        <f t="shared" si="30"/>
        <v>0.39525052045931519</v>
      </c>
      <c r="S202" s="23">
        <f t="shared" si="31"/>
        <v>3.5572546841338366</v>
      </c>
    </row>
    <row r="203" spans="1:19" s="31" customFormat="1" ht="15" customHeight="1" x14ac:dyDescent="0.25">
      <c r="A203" s="19" t="s">
        <v>428</v>
      </c>
      <c r="B203" s="19" t="s">
        <v>427</v>
      </c>
      <c r="C203" s="19" t="s">
        <v>40</v>
      </c>
      <c r="D203" s="19" t="s">
        <v>19</v>
      </c>
      <c r="E203" s="24">
        <v>39841900</v>
      </c>
      <c r="F203" s="21">
        <v>84.334518239999994</v>
      </c>
      <c r="G203" s="21">
        <f>100-F203</f>
        <v>15.665481760000006</v>
      </c>
      <c r="H203" s="24">
        <f t="shared" si="24"/>
        <v>6241425.577337442</v>
      </c>
      <c r="I203" s="36">
        <f t="shared" si="25"/>
        <v>6241425.577337442</v>
      </c>
      <c r="J203" s="19">
        <v>150</v>
      </c>
      <c r="K203" s="19">
        <f>0.02*10*365*7.5</f>
        <v>547.5</v>
      </c>
      <c r="L203" s="19">
        <f>0.08*150*7.5</f>
        <v>90</v>
      </c>
      <c r="M203" s="24">
        <f t="shared" si="26"/>
        <v>4915122642.1532354</v>
      </c>
      <c r="N203" s="36">
        <f t="shared" si="27"/>
        <v>4915122642.1532354</v>
      </c>
      <c r="O203" s="24">
        <v>7490439523.5188084</v>
      </c>
      <c r="P203" s="24">
        <f t="shared" si="28"/>
        <v>112356592852.78212</v>
      </c>
      <c r="Q203" s="23">
        <f t="shared" si="29"/>
        <v>4.3745743061053756E-2</v>
      </c>
      <c r="R203" s="23">
        <f t="shared" si="30"/>
        <v>1.4581914353684585E-2</v>
      </c>
      <c r="S203" s="23">
        <f t="shared" si="31"/>
        <v>0.13123722918316125</v>
      </c>
    </row>
    <row r="204" spans="1:19" s="31" customFormat="1" ht="15" customHeight="1" x14ac:dyDescent="0.25">
      <c r="A204" s="19" t="s">
        <v>430</v>
      </c>
      <c r="B204" s="19" t="s">
        <v>429</v>
      </c>
      <c r="C204" s="19" t="s">
        <v>29</v>
      </c>
      <c r="D204" s="19" t="s">
        <v>22</v>
      </c>
      <c r="E204" s="24">
        <v>12330367</v>
      </c>
      <c r="F204" s="21">
        <v>96.8</v>
      </c>
      <c r="G204" s="21">
        <f>100-F204</f>
        <v>3.2000000000000028</v>
      </c>
      <c r="H204" s="24">
        <f t="shared" si="24"/>
        <v>394571.74400000036</v>
      </c>
      <c r="I204" s="36">
        <f t="shared" si="25"/>
        <v>394571.74400000036</v>
      </c>
      <c r="J204" s="19">
        <v>150</v>
      </c>
      <c r="K204" s="19">
        <f>0.02*10*365*7.5</f>
        <v>547.5</v>
      </c>
      <c r="L204" s="19">
        <f>0.08*150*7.5</f>
        <v>90</v>
      </c>
      <c r="M204" s="24">
        <f t="shared" si="26"/>
        <v>310725248.40000027</v>
      </c>
      <c r="N204" s="36">
        <f t="shared" si="27"/>
        <v>310725248.40000027</v>
      </c>
      <c r="O204" s="24">
        <v>62330586907.323227</v>
      </c>
      <c r="P204" s="24">
        <f t="shared" si="28"/>
        <v>934958803609.84839</v>
      </c>
      <c r="Q204" s="23">
        <f t="shared" si="29"/>
        <v>3.323411119295302E-4</v>
      </c>
      <c r="R204" s="23">
        <f t="shared" si="30"/>
        <v>1.1078037064317675E-4</v>
      </c>
      <c r="S204" s="23">
        <f t="shared" si="31"/>
        <v>9.970233357885906E-4</v>
      </c>
    </row>
    <row r="205" spans="1:19" x14ac:dyDescent="0.25">
      <c r="A205" s="19" t="s">
        <v>432</v>
      </c>
      <c r="B205" s="19" t="s">
        <v>431</v>
      </c>
      <c r="C205" s="19" t="s">
        <v>45</v>
      </c>
      <c r="D205" s="19" t="s">
        <v>19</v>
      </c>
      <c r="E205" s="24">
        <v>68630898</v>
      </c>
      <c r="F205" s="21">
        <v>90</v>
      </c>
      <c r="G205" s="21">
        <f>100-F205</f>
        <v>10</v>
      </c>
      <c r="H205" s="24">
        <f t="shared" si="24"/>
        <v>6863089.8000000007</v>
      </c>
      <c r="I205" s="36">
        <f t="shared" si="25"/>
        <v>6863089.8000000007</v>
      </c>
      <c r="J205" s="19">
        <v>150</v>
      </c>
      <c r="K205" s="19">
        <f>0.02*10*365*7.5</f>
        <v>547.5</v>
      </c>
      <c r="L205" s="19">
        <f>0.08*150*7.5</f>
        <v>90</v>
      </c>
      <c r="M205" s="24">
        <f t="shared" si="26"/>
        <v>5404683217.500001</v>
      </c>
      <c r="N205" s="36">
        <f t="shared" si="27"/>
        <v>5404683217.500001</v>
      </c>
      <c r="O205" s="24">
        <v>35339743590.988991</v>
      </c>
      <c r="P205" s="24">
        <f t="shared" si="28"/>
        <v>530096153864.83484</v>
      </c>
      <c r="Q205" s="23">
        <f t="shared" si="29"/>
        <v>1.0195665782698924E-2</v>
      </c>
      <c r="R205" s="23">
        <f t="shared" si="30"/>
        <v>3.3985552608996419E-3</v>
      </c>
      <c r="S205" s="23">
        <f t="shared" si="31"/>
        <v>3.0586997348096775E-2</v>
      </c>
    </row>
    <row r="206" spans="1:19" x14ac:dyDescent="0.25">
      <c r="A206" s="19" t="s">
        <v>434</v>
      </c>
      <c r="B206" s="19" t="s">
        <v>433</v>
      </c>
      <c r="C206" s="19" t="s">
        <v>45</v>
      </c>
      <c r="D206" s="19" t="s">
        <v>69</v>
      </c>
      <c r="E206" s="24">
        <v>362628830</v>
      </c>
      <c r="F206" s="21" t="s">
        <v>232</v>
      </c>
      <c r="G206" s="21" t="s">
        <v>232</v>
      </c>
      <c r="H206" s="24" t="e">
        <f t="shared" si="24"/>
        <v>#VALUE!</v>
      </c>
      <c r="I206" s="36">
        <f t="shared" si="25"/>
        <v>0</v>
      </c>
      <c r="J206" s="19">
        <v>150</v>
      </c>
      <c r="K206" s="19">
        <f>0.02*10*365*7.5</f>
        <v>547.5</v>
      </c>
      <c r="L206" s="19">
        <f>0.08*150*7.5</f>
        <v>90</v>
      </c>
      <c r="M206" s="24" t="e">
        <f t="shared" si="26"/>
        <v>#VALUE!</v>
      </c>
      <c r="N206" s="36">
        <f t="shared" si="27"/>
        <v>0</v>
      </c>
      <c r="O206" s="24">
        <v>183742824092.28073</v>
      </c>
      <c r="P206" s="24">
        <f t="shared" si="28"/>
        <v>2756142361384.2109</v>
      </c>
      <c r="Q206" s="23" t="e">
        <f t="shared" si="29"/>
        <v>#VALUE!</v>
      </c>
      <c r="R206" s="23" t="e">
        <f t="shared" si="30"/>
        <v>#VALUE!</v>
      </c>
      <c r="S206" s="23" t="e">
        <f t="shared" si="31"/>
        <v>#VALUE!</v>
      </c>
    </row>
    <row r="207" spans="1:19" x14ac:dyDescent="0.25">
      <c r="A207" s="19" t="s">
        <v>436</v>
      </c>
      <c r="B207" s="19" t="s">
        <v>435</v>
      </c>
      <c r="C207" s="19" t="s">
        <v>29</v>
      </c>
      <c r="D207" s="19" t="s">
        <v>35</v>
      </c>
      <c r="E207" s="24">
        <v>3581432</v>
      </c>
      <c r="F207" s="21">
        <v>85.4</v>
      </c>
      <c r="G207" s="21">
        <f>100-F207</f>
        <v>14.599999999999994</v>
      </c>
      <c r="H207" s="24">
        <f t="shared" si="24"/>
        <v>522889.07199999975</v>
      </c>
      <c r="I207" s="36">
        <f t="shared" si="25"/>
        <v>522889.07199999975</v>
      </c>
      <c r="J207" s="19">
        <v>150</v>
      </c>
      <c r="K207" s="19">
        <f>0.02*10*365*7.5</f>
        <v>547.5</v>
      </c>
      <c r="L207" s="19">
        <f>0.08*150*7.5</f>
        <v>90</v>
      </c>
      <c r="M207" s="24">
        <f t="shared" si="26"/>
        <v>411775144.19999981</v>
      </c>
      <c r="N207" s="36">
        <f t="shared" si="27"/>
        <v>411775144.19999981</v>
      </c>
      <c r="O207" s="24">
        <v>1344798564.3950837</v>
      </c>
      <c r="P207" s="24">
        <f t="shared" si="28"/>
        <v>20171978465.926254</v>
      </c>
      <c r="Q207" s="23">
        <f t="shared" si="29"/>
        <v>2.0413225450124035E-2</v>
      </c>
      <c r="R207" s="23">
        <f t="shared" si="30"/>
        <v>6.8044084833746785E-3</v>
      </c>
      <c r="S207" s="23">
        <f t="shared" si="31"/>
        <v>6.1239676350372106E-2</v>
      </c>
    </row>
    <row r="208" spans="1:19" x14ac:dyDescent="0.25">
      <c r="A208" s="19" t="s">
        <v>438</v>
      </c>
      <c r="B208" s="19" t="s">
        <v>437</v>
      </c>
      <c r="C208" s="19" t="s">
        <v>40</v>
      </c>
      <c r="D208" s="19" t="s">
        <v>19</v>
      </c>
      <c r="E208" s="24">
        <v>34146873</v>
      </c>
      <c r="F208" s="21" t="s">
        <v>232</v>
      </c>
      <c r="G208" s="21">
        <v>14.792992315545245</v>
      </c>
      <c r="H208" s="24">
        <f t="shared" si="24"/>
        <v>5051344.2988889944</v>
      </c>
      <c r="I208" s="36">
        <f t="shared" si="25"/>
        <v>5051344.2988889944</v>
      </c>
      <c r="J208" s="19">
        <v>150</v>
      </c>
      <c r="K208" s="19">
        <f>0.02*10*365*7.5</f>
        <v>547.5</v>
      </c>
      <c r="L208" s="19">
        <f>0.08*150*7.5</f>
        <v>90</v>
      </c>
      <c r="M208" s="24">
        <f t="shared" si="26"/>
        <v>3977933635.375083</v>
      </c>
      <c r="N208" s="36">
        <f t="shared" si="27"/>
        <v>3977933635.375083</v>
      </c>
      <c r="O208" s="24">
        <v>10682101144.876232</v>
      </c>
      <c r="P208" s="24">
        <f t="shared" si="28"/>
        <v>160231517173.14349</v>
      </c>
      <c r="Q208" s="23">
        <f t="shared" si="29"/>
        <v>2.4826162203011499E-2</v>
      </c>
      <c r="R208" s="23">
        <f t="shared" si="30"/>
        <v>8.2753874010038329E-3</v>
      </c>
      <c r="S208" s="23">
        <f t="shared" si="31"/>
        <v>7.4478486609034486E-2</v>
      </c>
    </row>
    <row r="209" spans="1:19" x14ac:dyDescent="0.25">
      <c r="A209" s="19" t="s">
        <v>440</v>
      </c>
      <c r="B209" s="19" t="s">
        <v>439</v>
      </c>
      <c r="C209" s="19" t="s">
        <v>40</v>
      </c>
      <c r="D209" s="19" t="s">
        <v>26</v>
      </c>
      <c r="E209" s="24">
        <v>352225</v>
      </c>
      <c r="F209" s="21">
        <v>75.8</v>
      </c>
      <c r="G209" s="21">
        <f>100-F209</f>
        <v>24.200000000000003</v>
      </c>
      <c r="H209" s="24">
        <f t="shared" si="24"/>
        <v>85238.450000000012</v>
      </c>
      <c r="I209" s="36">
        <f t="shared" si="25"/>
        <v>85238.450000000012</v>
      </c>
      <c r="J209" s="19">
        <v>150</v>
      </c>
      <c r="K209" s="19">
        <f>0.02*10*365*7.5</f>
        <v>547.5</v>
      </c>
      <c r="L209" s="19">
        <f>0.08*150*7.5</f>
        <v>90</v>
      </c>
      <c r="M209" s="24">
        <f t="shared" si="26"/>
        <v>67125279.375000015</v>
      </c>
      <c r="N209" s="36">
        <f t="shared" si="27"/>
        <v>67125279.375000015</v>
      </c>
      <c r="O209" s="24">
        <v>7861829.9212791082</v>
      </c>
      <c r="P209" s="24">
        <f t="shared" si="28"/>
        <v>117927448.81918663</v>
      </c>
      <c r="Q209" s="23">
        <f t="shared" si="29"/>
        <v>0.5692082720955024</v>
      </c>
      <c r="R209" s="23">
        <f t="shared" si="30"/>
        <v>0.18973609069850081</v>
      </c>
      <c r="S209" s="23">
        <f t="shared" si="31"/>
        <v>1.7076248162865073</v>
      </c>
    </row>
    <row r="210" spans="1:19" ht="15" customHeight="1" x14ac:dyDescent="0.25">
      <c r="A210" s="19" t="s">
        <v>442</v>
      </c>
      <c r="B210" s="19" t="s">
        <v>441</v>
      </c>
      <c r="C210" s="19" t="s">
        <v>18</v>
      </c>
      <c r="D210" s="19" t="s">
        <v>35</v>
      </c>
      <c r="E210" s="24">
        <v>37172167</v>
      </c>
      <c r="F210" s="21">
        <v>35.195724574351381</v>
      </c>
      <c r="G210" s="21">
        <f>100-F210</f>
        <v>64.804275425648626</v>
      </c>
      <c r="H210" s="24">
        <f t="shared" si="24"/>
        <v>24089153.48436207</v>
      </c>
      <c r="I210" s="36">
        <f t="shared" si="25"/>
        <v>24089153.48436207</v>
      </c>
      <c r="J210" s="19">
        <v>150</v>
      </c>
      <c r="K210" s="19">
        <f>0.02*10*365*7.5</f>
        <v>547.5</v>
      </c>
      <c r="L210" s="19">
        <f>0.08*150*7.5</f>
        <v>90</v>
      </c>
      <c r="M210" s="24">
        <f t="shared" si="26"/>
        <v>18970208368.935131</v>
      </c>
      <c r="N210" s="36">
        <f t="shared" si="27"/>
        <v>18970208368.935131</v>
      </c>
      <c r="O210" s="24">
        <v>80589397008.56813</v>
      </c>
      <c r="P210" s="24">
        <f t="shared" si="28"/>
        <v>1208840955128.522</v>
      </c>
      <c r="Q210" s="23">
        <f t="shared" si="29"/>
        <v>1.5692890192422582E-2</v>
      </c>
      <c r="R210" s="23">
        <f t="shared" si="30"/>
        <v>5.230963397474195E-3</v>
      </c>
      <c r="S210" s="23">
        <f t="shared" si="31"/>
        <v>4.7078670577267751E-2</v>
      </c>
    </row>
    <row r="211" spans="1:19" x14ac:dyDescent="0.25">
      <c r="A211" s="19" t="s">
        <v>444</v>
      </c>
      <c r="B211" s="19" t="s">
        <v>443</v>
      </c>
      <c r="C211" s="19" t="s">
        <v>40</v>
      </c>
      <c r="D211" s="19" t="s">
        <v>26</v>
      </c>
      <c r="E211" s="24">
        <v>101830324</v>
      </c>
      <c r="F211" s="21">
        <v>46.2</v>
      </c>
      <c r="G211" s="21">
        <f>100-F211</f>
        <v>53.8</v>
      </c>
      <c r="H211" s="24">
        <f t="shared" si="24"/>
        <v>54784714.311999992</v>
      </c>
      <c r="I211" s="36">
        <f t="shared" si="25"/>
        <v>54784714.311999992</v>
      </c>
      <c r="J211" s="19">
        <v>150</v>
      </c>
      <c r="K211" s="19">
        <f>0.02*10*365*7.5</f>
        <v>547.5</v>
      </c>
      <c r="L211" s="19">
        <f>0.08*150*7.5</f>
        <v>90</v>
      </c>
      <c r="M211" s="24">
        <f t="shared" si="26"/>
        <v>43142962520.699997</v>
      </c>
      <c r="N211" s="36">
        <f t="shared" si="27"/>
        <v>43142962520.699997</v>
      </c>
      <c r="O211" s="24">
        <v>13594414917.099127</v>
      </c>
      <c r="P211" s="24">
        <f t="shared" si="28"/>
        <v>203916223756.48691</v>
      </c>
      <c r="Q211" s="23">
        <f t="shared" si="29"/>
        <v>0.21157199621458539</v>
      </c>
      <c r="R211" s="23">
        <f t="shared" si="30"/>
        <v>7.0523998738195134E-2</v>
      </c>
      <c r="S211" s="23">
        <f t="shared" si="31"/>
        <v>0.63471598864375622</v>
      </c>
    </row>
    <row r="212" spans="1:19" x14ac:dyDescent="0.25">
      <c r="A212" s="19" t="s">
        <v>446</v>
      </c>
      <c r="B212" s="19" t="s">
        <v>445</v>
      </c>
      <c r="C212" s="19" t="s">
        <v>29</v>
      </c>
      <c r="D212" s="19" t="s">
        <v>35</v>
      </c>
      <c r="E212" s="24">
        <v>104912</v>
      </c>
      <c r="F212" s="21" t="s">
        <v>232</v>
      </c>
      <c r="G212" s="21">
        <v>26.644402312055828</v>
      </c>
      <c r="H212" s="24">
        <f t="shared" si="24"/>
        <v>27953.175353624007</v>
      </c>
      <c r="I212" s="36">
        <f t="shared" si="25"/>
        <v>27953.175353624007</v>
      </c>
      <c r="J212" s="19">
        <v>150</v>
      </c>
      <c r="K212" s="19">
        <f>0.02*10*365*7.5</f>
        <v>547.5</v>
      </c>
      <c r="L212" s="19">
        <f>0.08*150*7.5</f>
        <v>90</v>
      </c>
      <c r="M212" s="24">
        <f t="shared" si="26"/>
        <v>22013125.590978906</v>
      </c>
      <c r="N212" s="36">
        <f t="shared" si="27"/>
        <v>22013125.590978906</v>
      </c>
      <c r="O212" s="24" t="s">
        <v>232</v>
      </c>
      <c r="P212" s="24" t="e">
        <f t="shared" si="28"/>
        <v>#VALUE!</v>
      </c>
      <c r="Q212" s="23" t="e">
        <f t="shared" si="29"/>
        <v>#VALUE!</v>
      </c>
      <c r="R212" s="23" t="e">
        <f t="shared" si="30"/>
        <v>#VALUE!</v>
      </c>
      <c r="S212" s="23" t="e">
        <f t="shared" si="31"/>
        <v>#VALUE!</v>
      </c>
    </row>
    <row r="213" spans="1:19" x14ac:dyDescent="0.25">
      <c r="A213" s="19" t="s">
        <v>448</v>
      </c>
      <c r="B213" s="19" t="s">
        <v>447</v>
      </c>
      <c r="C213" s="19" t="s">
        <v>40</v>
      </c>
      <c r="D213" s="19" t="s">
        <v>22</v>
      </c>
      <c r="E213" s="24" t="s">
        <v>232</v>
      </c>
      <c r="F213" s="21">
        <v>93.616933810000006</v>
      </c>
      <c r="G213" s="21">
        <f>100-F213</f>
        <v>6.3830661899999939</v>
      </c>
      <c r="H213" s="24" t="e">
        <f t="shared" si="24"/>
        <v>#VALUE!</v>
      </c>
      <c r="I213" s="36">
        <f t="shared" si="25"/>
        <v>0</v>
      </c>
      <c r="J213" s="19">
        <v>150</v>
      </c>
      <c r="K213" s="19">
        <f>0.02*10*365*7.5</f>
        <v>547.5</v>
      </c>
      <c r="L213" s="19">
        <f>0.08*150*7.5</f>
        <v>90</v>
      </c>
      <c r="M213" s="24" t="e">
        <f t="shared" si="26"/>
        <v>#VALUE!</v>
      </c>
      <c r="N213" s="36">
        <f t="shared" si="27"/>
        <v>0</v>
      </c>
      <c r="O213" s="24" t="s">
        <v>232</v>
      </c>
      <c r="P213" s="24" t="e">
        <f t="shared" si="28"/>
        <v>#VALUE!</v>
      </c>
      <c r="Q213" s="23" t="e">
        <f t="shared" si="29"/>
        <v>#VALUE!</v>
      </c>
      <c r="R213" s="23" t="e">
        <f t="shared" si="30"/>
        <v>#VALUE!</v>
      </c>
      <c r="S213" s="23" t="e">
        <f t="shared" si="31"/>
        <v>#VALUE!</v>
      </c>
    </row>
    <row r="214" spans="1:19" x14ac:dyDescent="0.25">
      <c r="A214" s="19" t="s">
        <v>450</v>
      </c>
      <c r="B214" s="19" t="s">
        <v>449</v>
      </c>
      <c r="C214" s="19" t="s">
        <v>40</v>
      </c>
      <c r="D214" s="19" t="s">
        <v>22</v>
      </c>
      <c r="E214" s="24">
        <v>33991041</v>
      </c>
      <c r="F214" s="21" t="s">
        <v>232</v>
      </c>
      <c r="G214" s="21">
        <v>14.937753881111108</v>
      </c>
      <c r="H214" s="24">
        <f t="shared" si="24"/>
        <v>5077498.0462075677</v>
      </c>
      <c r="I214" s="36">
        <f t="shared" si="25"/>
        <v>5077498.0462075677</v>
      </c>
      <c r="J214" s="19">
        <v>150</v>
      </c>
      <c r="K214" s="19">
        <f>0.02*10*365*7.5</f>
        <v>547.5</v>
      </c>
      <c r="L214" s="19">
        <f>0.08*150*7.5</f>
        <v>90</v>
      </c>
      <c r="M214" s="24">
        <f t="shared" si="26"/>
        <v>3998529711.3884597</v>
      </c>
      <c r="N214" s="36">
        <f t="shared" si="27"/>
        <v>3998529711.3884597</v>
      </c>
      <c r="O214" s="24">
        <v>6972508226.6016922</v>
      </c>
      <c r="P214" s="24">
        <f t="shared" si="28"/>
        <v>104587623399.02539</v>
      </c>
      <c r="Q214" s="23">
        <f t="shared" si="29"/>
        <v>3.8231385143279971E-2</v>
      </c>
      <c r="R214" s="23">
        <f t="shared" si="30"/>
        <v>1.2743795047759989E-2</v>
      </c>
      <c r="S214" s="23">
        <f t="shared" si="31"/>
        <v>0.11469415542983991</v>
      </c>
    </row>
    <row r="215" spans="1:19" x14ac:dyDescent="0.25">
      <c r="A215" s="19" t="s">
        <v>452</v>
      </c>
      <c r="B215" s="19" t="s">
        <v>451</v>
      </c>
      <c r="C215" s="19" t="s">
        <v>40</v>
      </c>
      <c r="D215" s="19" t="s">
        <v>32</v>
      </c>
      <c r="E215" s="24">
        <v>24956509</v>
      </c>
      <c r="F215" s="21">
        <v>42.582568027210876</v>
      </c>
      <c r="G215" s="21">
        <f>100-F215</f>
        <v>57.417431972789124</v>
      </c>
      <c r="H215" s="24">
        <f t="shared" si="24"/>
        <v>14329386.577857995</v>
      </c>
      <c r="I215" s="36">
        <f t="shared" si="25"/>
        <v>14329386.577857995</v>
      </c>
      <c r="J215" s="19">
        <v>150</v>
      </c>
      <c r="K215" s="19">
        <f>0.02*10*365*7.5</f>
        <v>547.5</v>
      </c>
      <c r="L215" s="19">
        <f>0.08*150*7.5</f>
        <v>90</v>
      </c>
      <c r="M215" s="24">
        <f t="shared" si="26"/>
        <v>11284391930.063171</v>
      </c>
      <c r="N215" s="36">
        <f t="shared" si="27"/>
        <v>11284391930.063171</v>
      </c>
      <c r="O215" s="24">
        <v>4492889935.3189192</v>
      </c>
      <c r="P215" s="24">
        <f t="shared" si="28"/>
        <v>67393349029.783791</v>
      </c>
      <c r="Q215" s="23">
        <f t="shared" si="29"/>
        <v>0.16744073551050492</v>
      </c>
      <c r="R215" s="23">
        <f t="shared" si="30"/>
        <v>5.5813578503501639E-2</v>
      </c>
      <c r="S215" s="23">
        <f t="shared" si="31"/>
        <v>0.50232220653151483</v>
      </c>
    </row>
    <row r="216" spans="1:19" x14ac:dyDescent="0.25">
      <c r="A216" s="19" t="s">
        <v>454</v>
      </c>
      <c r="B216" s="19" t="s">
        <v>453</v>
      </c>
      <c r="C216" s="19" t="s">
        <v>14</v>
      </c>
      <c r="D216" s="19" t="s">
        <v>32</v>
      </c>
      <c r="E216" s="24">
        <v>20292380</v>
      </c>
      <c r="F216" s="21">
        <v>52.5</v>
      </c>
      <c r="G216" s="21">
        <f>100-F216</f>
        <v>47.5</v>
      </c>
      <c r="H216" s="24">
        <f t="shared" si="24"/>
        <v>9638880.5</v>
      </c>
      <c r="I216" s="36">
        <f t="shared" si="25"/>
        <v>9638880.5</v>
      </c>
      <c r="J216" s="19">
        <v>150</v>
      </c>
      <c r="K216" s="19">
        <f>0.02*10*365*7.5</f>
        <v>547.5</v>
      </c>
      <c r="L216" s="19">
        <f>0.08*150*7.5</f>
        <v>90</v>
      </c>
      <c r="M216" s="24">
        <f t="shared" si="26"/>
        <v>7590618393.75</v>
      </c>
      <c r="N216" s="36">
        <f t="shared" si="27"/>
        <v>7590618393.75</v>
      </c>
      <c r="O216" s="24">
        <v>996384461.46226156</v>
      </c>
      <c r="P216" s="24">
        <f t="shared" si="28"/>
        <v>14945766921.933924</v>
      </c>
      <c r="Q216" s="23">
        <f t="shared" si="29"/>
        <v>0.5078774768399642</v>
      </c>
      <c r="R216" s="23">
        <f t="shared" si="30"/>
        <v>0.16929249227998808</v>
      </c>
      <c r="S216" s="23">
        <f t="shared" si="31"/>
        <v>1.5236324305198927</v>
      </c>
    </row>
  </sheetData>
  <autoFilter ref="A2:S216"/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workbookViewId="0">
      <selection activeCell="B1" sqref="B1"/>
    </sheetView>
  </sheetViews>
  <sheetFormatPr baseColWidth="10" defaultRowHeight="15" x14ac:dyDescent="0.25"/>
  <cols>
    <col min="1" max="1" width="24.5703125" customWidth="1"/>
    <col min="2" max="2" width="42" style="3" customWidth="1"/>
    <col min="3" max="3" width="26.140625" style="3" customWidth="1"/>
  </cols>
  <sheetData>
    <row r="1" spans="1:3" x14ac:dyDescent="0.25">
      <c r="B1" s="4" t="s">
        <v>512</v>
      </c>
      <c r="C1"/>
    </row>
    <row r="2" spans="1:3" x14ac:dyDescent="0.25">
      <c r="A2" s="4" t="s">
        <v>4</v>
      </c>
      <c r="B2" t="s">
        <v>567</v>
      </c>
      <c r="C2" t="s">
        <v>557</v>
      </c>
    </row>
    <row r="3" spans="1:3" x14ac:dyDescent="0.25">
      <c r="A3" t="s">
        <v>26</v>
      </c>
      <c r="B3" s="3">
        <v>716457117.37252557</v>
      </c>
      <c r="C3" s="3">
        <v>564209979930.86353</v>
      </c>
    </row>
    <row r="4" spans="1:3" x14ac:dyDescent="0.25">
      <c r="A4" t="s">
        <v>19</v>
      </c>
      <c r="B4" s="3">
        <v>134460030.85619199</v>
      </c>
      <c r="C4" s="3">
        <v>105887274299.25121</v>
      </c>
    </row>
    <row r="5" spans="1:3" x14ac:dyDescent="0.25">
      <c r="A5" t="s">
        <v>35</v>
      </c>
      <c r="B5" s="3">
        <v>166255331.41669816</v>
      </c>
      <c r="C5" s="3">
        <v>130926073490.64978</v>
      </c>
    </row>
    <row r="6" spans="1:3" x14ac:dyDescent="0.25">
      <c r="A6" t="s">
        <v>22</v>
      </c>
      <c r="B6" s="3">
        <v>69189498.328606606</v>
      </c>
      <c r="C6" s="3">
        <v>54486729933.777702</v>
      </c>
    </row>
    <row r="7" spans="1:3" x14ac:dyDescent="0.25">
      <c r="A7" t="s">
        <v>69</v>
      </c>
      <c r="B7" s="3">
        <v>4341766.9468928799</v>
      </c>
      <c r="C7" s="3">
        <v>3419141470.6781435</v>
      </c>
    </row>
    <row r="8" spans="1:3" x14ac:dyDescent="0.25">
      <c r="A8" t="s">
        <v>15</v>
      </c>
      <c r="B8" s="3">
        <v>1349397224.593873</v>
      </c>
      <c r="C8" s="3">
        <v>1062650314367.6752</v>
      </c>
    </row>
    <row r="9" spans="1:3" x14ac:dyDescent="0.25">
      <c r="A9" t="s">
        <v>32</v>
      </c>
      <c r="B9" s="3">
        <v>863955735.48804224</v>
      </c>
      <c r="C9" s="3">
        <v>680365141696.83325</v>
      </c>
    </row>
    <row r="10" spans="1:3" x14ac:dyDescent="0.25">
      <c r="A10" t="s">
        <v>511</v>
      </c>
      <c r="B10" s="3">
        <v>3304056705.002831</v>
      </c>
      <c r="C10" s="3">
        <v>2601944655189.7285</v>
      </c>
    </row>
    <row r="11" spans="1:3" x14ac:dyDescent="0.25">
      <c r="B11"/>
      <c r="C11"/>
    </row>
    <row r="12" spans="1:3" x14ac:dyDescent="0.25">
      <c r="B12"/>
      <c r="C12"/>
    </row>
    <row r="13" spans="1:3" x14ac:dyDescent="0.25">
      <c r="B13"/>
      <c r="C13"/>
    </row>
    <row r="14" spans="1:3" x14ac:dyDescent="0.25">
      <c r="B14"/>
      <c r="C14"/>
    </row>
    <row r="15" spans="1:3" x14ac:dyDescent="0.25">
      <c r="B15"/>
      <c r="C15"/>
    </row>
    <row r="16" spans="1:3" x14ac:dyDescent="0.25">
      <c r="B16"/>
      <c r="C16"/>
    </row>
    <row r="17" spans="2:3" x14ac:dyDescent="0.25">
      <c r="B17"/>
      <c r="C17"/>
    </row>
    <row r="18" spans="2:3" x14ac:dyDescent="0.25">
      <c r="B18"/>
      <c r="C18"/>
    </row>
    <row r="19" spans="2:3" x14ac:dyDescent="0.25">
      <c r="B19"/>
      <c r="C19"/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topLeftCell="C1" zoomScale="80" zoomScaleNormal="80" workbookViewId="0">
      <selection activeCell="H7" sqref="H7"/>
    </sheetView>
  </sheetViews>
  <sheetFormatPr baseColWidth="10" defaultRowHeight="15" x14ac:dyDescent="0.25"/>
  <cols>
    <col min="1" max="1" width="28.140625" style="19" customWidth="1"/>
    <col min="2" max="2" width="13" style="19" bestFit="1" customWidth="1"/>
    <col min="3" max="3" width="21.5703125" style="19" bestFit="1" customWidth="1"/>
    <col min="4" max="4" width="24.140625" style="19" bestFit="1" customWidth="1"/>
    <col min="5" max="5" width="22.5703125" style="19" customWidth="1"/>
    <col min="6" max="6" width="33.28515625" style="21" bestFit="1" customWidth="1"/>
    <col min="7" max="7" width="17.42578125" style="19" customWidth="1"/>
    <col min="8" max="8" width="17.42578125" style="37" customWidth="1"/>
    <col min="9" max="9" width="23.140625" style="24" customWidth="1"/>
    <col min="10" max="10" width="21.42578125" style="24" customWidth="1"/>
    <col min="11" max="11" width="22.85546875" style="24" bestFit="1" customWidth="1"/>
    <col min="12" max="12" width="16.7109375" style="24" customWidth="1"/>
    <col min="13" max="13" width="16.7109375" style="36" customWidth="1"/>
    <col min="14" max="14" width="26.140625" style="24" customWidth="1"/>
    <col min="15" max="15" width="23.5703125" style="24" customWidth="1"/>
    <col min="16" max="16" width="13" style="23" bestFit="1" customWidth="1"/>
    <col min="17" max="17" width="17.42578125" style="23" bestFit="1" customWidth="1"/>
    <col min="18" max="18" width="18.7109375" style="23" bestFit="1" customWidth="1"/>
    <col min="19" max="16384" width="11.42578125" style="19"/>
  </cols>
  <sheetData>
    <row r="1" spans="1:18" s="10" customFormat="1" x14ac:dyDescent="0.25">
      <c r="A1" s="10" t="s">
        <v>502</v>
      </c>
      <c r="F1" s="33"/>
      <c r="H1" s="34"/>
      <c r="I1" s="11"/>
      <c r="J1" s="11"/>
      <c r="K1" s="11"/>
      <c r="L1" s="11"/>
      <c r="M1" s="38"/>
      <c r="N1" s="11"/>
      <c r="O1" s="11"/>
      <c r="P1" s="13"/>
      <c r="Q1" s="13"/>
      <c r="R1" s="13"/>
    </row>
    <row r="2" spans="1:18" s="10" customFormat="1" x14ac:dyDescent="0.25">
      <c r="A2" s="10" t="s">
        <v>1</v>
      </c>
      <c r="B2" s="10" t="s">
        <v>2</v>
      </c>
      <c r="C2" s="10" t="s">
        <v>479</v>
      </c>
      <c r="D2" s="10" t="s">
        <v>4</v>
      </c>
      <c r="E2" s="10" t="s">
        <v>494</v>
      </c>
      <c r="F2" s="33" t="s">
        <v>495</v>
      </c>
      <c r="G2" s="10" t="s">
        <v>496</v>
      </c>
      <c r="H2" s="34" t="s">
        <v>568</v>
      </c>
      <c r="I2" s="11" t="s">
        <v>503</v>
      </c>
      <c r="J2" s="11" t="s">
        <v>497</v>
      </c>
      <c r="K2" s="11" t="s">
        <v>498</v>
      </c>
      <c r="L2" s="11" t="s">
        <v>499</v>
      </c>
      <c r="M2" s="38" t="s">
        <v>556</v>
      </c>
      <c r="N2" s="15" t="s">
        <v>506</v>
      </c>
      <c r="O2" s="15" t="s">
        <v>507</v>
      </c>
      <c r="P2" s="13" t="s">
        <v>508</v>
      </c>
      <c r="Q2" s="13" t="s">
        <v>504</v>
      </c>
      <c r="R2" s="13" t="s">
        <v>505</v>
      </c>
    </row>
    <row r="3" spans="1:18" ht="15" customHeight="1" x14ac:dyDescent="0.25">
      <c r="A3" s="19" t="s">
        <v>12</v>
      </c>
      <c r="B3" s="19" t="s">
        <v>13</v>
      </c>
      <c r="C3" s="19" t="s">
        <v>14</v>
      </c>
      <c r="D3" s="19" t="s">
        <v>15</v>
      </c>
      <c r="E3" s="19">
        <v>23133</v>
      </c>
      <c r="F3" s="21">
        <v>36.393896165650801</v>
      </c>
      <c r="G3" s="19">
        <f>(1-(F3/100))*E3</f>
        <v>14713.999999999998</v>
      </c>
      <c r="H3" s="37">
        <f>IFERROR(G3,0)</f>
        <v>14713.999999999998</v>
      </c>
      <c r="I3" s="24">
        <v>1100000</v>
      </c>
      <c r="J3" s="24">
        <v>33000</v>
      </c>
      <c r="K3" s="24">
        <f>J3*(7.5/4)</f>
        <v>61875</v>
      </c>
      <c r="L3" s="24">
        <f>G3*(I3+K3)</f>
        <v>17095828749.999998</v>
      </c>
      <c r="M3" s="36">
        <f>IFERROR(L3,0)</f>
        <v>17095828749.999998</v>
      </c>
      <c r="N3" s="24">
        <v>275432181.35267156</v>
      </c>
      <c r="O3" s="24">
        <f>N3*15</f>
        <v>4131482720.2900734</v>
      </c>
      <c r="P3" s="23">
        <f t="shared" ref="P3:P66" si="0">L3/O3</f>
        <v>4.1379402765115989</v>
      </c>
      <c r="Q3" s="23">
        <f>(L3/2)/(O3*1.5)</f>
        <v>1.3793134255038662</v>
      </c>
      <c r="R3" s="23">
        <f>(L3*1.5)/(O3/2)</f>
        <v>12.413820829534796</v>
      </c>
    </row>
    <row r="4" spans="1:18" ht="15" customHeight="1" x14ac:dyDescent="0.25">
      <c r="A4" s="19" t="s">
        <v>16</v>
      </c>
      <c r="B4" s="19" t="s">
        <v>17</v>
      </c>
      <c r="C4" s="19" t="s">
        <v>18</v>
      </c>
      <c r="D4" s="19" t="s">
        <v>19</v>
      </c>
      <c r="E4" s="19" t="s">
        <v>232</v>
      </c>
      <c r="F4" s="19" t="s">
        <v>232</v>
      </c>
      <c r="G4" s="19" t="e">
        <f t="shared" ref="G4:G67" si="1">(1-(F4/100))*E4</f>
        <v>#VALUE!</v>
      </c>
      <c r="H4" s="37">
        <f t="shared" ref="H4:H67" si="2">IFERROR(G4,0)</f>
        <v>0</v>
      </c>
      <c r="I4" s="24" t="s">
        <v>232</v>
      </c>
      <c r="J4" s="24" t="s">
        <v>232</v>
      </c>
      <c r="K4" s="24" t="e">
        <f t="shared" ref="K4:K67" si="3">J4*(7.5/4)</f>
        <v>#VALUE!</v>
      </c>
      <c r="L4" s="24" t="e">
        <f t="shared" ref="L4:L67" si="4">G4*(I4+K4)</f>
        <v>#VALUE!</v>
      </c>
      <c r="M4" s="36">
        <f t="shared" ref="M4:M67" si="5">IFERROR(L4,0)</f>
        <v>0</v>
      </c>
      <c r="N4" s="24">
        <v>411495291.46132761</v>
      </c>
      <c r="O4" s="24">
        <f t="shared" ref="O4:O67" si="6">N4*15</f>
        <v>6172429371.9199142</v>
      </c>
      <c r="P4" s="23" t="e">
        <f t="shared" si="0"/>
        <v>#VALUE!</v>
      </c>
      <c r="Q4" s="23" t="e">
        <f t="shared" ref="Q4:Q67" si="7">(L4/2)/(O4*1.5)</f>
        <v>#VALUE!</v>
      </c>
      <c r="R4" s="23" t="e">
        <f t="shared" ref="R4:R67" si="8">(L4*1.5)/(O4/2)</f>
        <v>#VALUE!</v>
      </c>
    </row>
    <row r="5" spans="1:18" ht="15" customHeight="1" x14ac:dyDescent="0.25">
      <c r="A5" s="19" t="s">
        <v>20</v>
      </c>
      <c r="B5" s="19" t="s">
        <v>21</v>
      </c>
      <c r="C5" s="19" t="s">
        <v>18</v>
      </c>
      <c r="D5" s="19" t="s">
        <v>22</v>
      </c>
      <c r="E5" s="19">
        <v>113655</v>
      </c>
      <c r="F5" s="21">
        <v>77.081518630944501</v>
      </c>
      <c r="G5" s="19">
        <f t="shared" si="1"/>
        <v>26048.000000000029</v>
      </c>
      <c r="H5" s="37">
        <f t="shared" si="2"/>
        <v>26048.000000000029</v>
      </c>
      <c r="I5" s="24">
        <v>1000000</v>
      </c>
      <c r="J5" s="24">
        <v>30000</v>
      </c>
      <c r="K5" s="24">
        <f t="shared" si="3"/>
        <v>56250</v>
      </c>
      <c r="L5" s="24">
        <f t="shared" si="4"/>
        <v>27513200000.000031</v>
      </c>
      <c r="M5" s="36">
        <f t="shared" si="5"/>
        <v>27513200000.000031</v>
      </c>
      <c r="N5" s="24">
        <v>41290138275.752869</v>
      </c>
      <c r="O5" s="24">
        <f t="shared" si="6"/>
        <v>619352074136.29297</v>
      </c>
      <c r="P5" s="23">
        <f t="shared" si="0"/>
        <v>4.4422552452687114E-2</v>
      </c>
      <c r="Q5" s="23">
        <f t="shared" si="7"/>
        <v>1.4807517484229036E-2</v>
      </c>
      <c r="R5" s="23">
        <f t="shared" si="8"/>
        <v>0.13326765735806134</v>
      </c>
    </row>
    <row r="6" spans="1:18" ht="15" customHeight="1" x14ac:dyDescent="0.25">
      <c r="A6" s="19" t="s">
        <v>24</v>
      </c>
      <c r="B6" s="19" t="s">
        <v>25</v>
      </c>
      <c r="C6" s="19" t="s">
        <v>18</v>
      </c>
      <c r="D6" s="19" t="s">
        <v>26</v>
      </c>
      <c r="E6" s="19" t="s">
        <v>232</v>
      </c>
      <c r="F6" s="19" t="s">
        <v>232</v>
      </c>
      <c r="G6" s="19" t="e">
        <f t="shared" si="1"/>
        <v>#VALUE!</v>
      </c>
      <c r="H6" s="37">
        <f t="shared" si="2"/>
        <v>0</v>
      </c>
      <c r="I6" s="24" t="s">
        <v>232</v>
      </c>
      <c r="J6" s="24" t="s">
        <v>232</v>
      </c>
      <c r="K6" s="24" t="e">
        <f t="shared" si="3"/>
        <v>#VALUE!</v>
      </c>
      <c r="L6" s="24" t="e">
        <f t="shared" si="4"/>
        <v>#VALUE!</v>
      </c>
      <c r="M6" s="36">
        <f t="shared" si="5"/>
        <v>0</v>
      </c>
      <c r="N6" s="24" t="s">
        <v>232</v>
      </c>
      <c r="O6" s="24" t="e">
        <f t="shared" si="6"/>
        <v>#VALUE!</v>
      </c>
      <c r="P6" s="23" t="e">
        <f t="shared" si="0"/>
        <v>#VALUE!</v>
      </c>
      <c r="Q6" s="23" t="e">
        <f t="shared" si="7"/>
        <v>#VALUE!</v>
      </c>
      <c r="R6" s="23" t="e">
        <f t="shared" si="8"/>
        <v>#VALUE!</v>
      </c>
    </row>
    <row r="7" spans="1:18" ht="15" customHeight="1" x14ac:dyDescent="0.25">
      <c r="A7" s="19" t="s">
        <v>27</v>
      </c>
      <c r="B7" s="19" t="s">
        <v>28</v>
      </c>
      <c r="C7" s="19" t="s">
        <v>29</v>
      </c>
      <c r="D7" s="19" t="s">
        <v>19</v>
      </c>
      <c r="E7" s="19" t="s">
        <v>232</v>
      </c>
      <c r="F7" s="19" t="s">
        <v>232</v>
      </c>
      <c r="G7" s="19" t="e">
        <f t="shared" si="1"/>
        <v>#VALUE!</v>
      </c>
      <c r="H7" s="37">
        <f t="shared" si="2"/>
        <v>0</v>
      </c>
      <c r="I7" s="24" t="s">
        <v>232</v>
      </c>
      <c r="J7" s="24" t="s">
        <v>232</v>
      </c>
      <c r="K7" s="24" t="e">
        <f t="shared" si="3"/>
        <v>#VALUE!</v>
      </c>
      <c r="L7" s="24" t="e">
        <f t="shared" si="4"/>
        <v>#VALUE!</v>
      </c>
      <c r="M7" s="36">
        <f t="shared" si="5"/>
        <v>0</v>
      </c>
      <c r="N7" s="24" t="s">
        <v>232</v>
      </c>
      <c r="O7" s="24" t="e">
        <f t="shared" si="6"/>
        <v>#VALUE!</v>
      </c>
      <c r="P7" s="23" t="e">
        <f t="shared" si="0"/>
        <v>#VALUE!</v>
      </c>
      <c r="Q7" s="23" t="e">
        <f t="shared" si="7"/>
        <v>#VALUE!</v>
      </c>
      <c r="R7" s="23" t="e">
        <f t="shared" si="8"/>
        <v>#VALUE!</v>
      </c>
    </row>
    <row r="8" spans="1:18" ht="15" customHeight="1" x14ac:dyDescent="0.25">
      <c r="A8" s="19" t="s">
        <v>30</v>
      </c>
      <c r="B8" s="19" t="s">
        <v>31</v>
      </c>
      <c r="C8" s="19" t="s">
        <v>18</v>
      </c>
      <c r="D8" s="19" t="s">
        <v>32</v>
      </c>
      <c r="E8" s="19" t="s">
        <v>232</v>
      </c>
      <c r="F8" s="19" t="s">
        <v>232</v>
      </c>
      <c r="G8" s="19" t="e">
        <f t="shared" si="1"/>
        <v>#VALUE!</v>
      </c>
      <c r="H8" s="37">
        <f t="shared" si="2"/>
        <v>0</v>
      </c>
      <c r="I8" s="24">
        <v>1200000</v>
      </c>
      <c r="J8" s="24">
        <v>35000</v>
      </c>
      <c r="K8" s="24">
        <f t="shared" si="3"/>
        <v>65625</v>
      </c>
      <c r="L8" s="24" t="e">
        <f t="shared" si="4"/>
        <v>#VALUE!</v>
      </c>
      <c r="M8" s="36">
        <f t="shared" si="5"/>
        <v>0</v>
      </c>
      <c r="N8" s="24">
        <v>38084701465.664787</v>
      </c>
      <c r="O8" s="24">
        <f t="shared" si="6"/>
        <v>571270521984.9718</v>
      </c>
      <c r="P8" s="23" t="e">
        <f t="shared" si="0"/>
        <v>#VALUE!</v>
      </c>
      <c r="Q8" s="23" t="e">
        <f t="shared" si="7"/>
        <v>#VALUE!</v>
      </c>
      <c r="R8" s="23" t="e">
        <f t="shared" si="8"/>
        <v>#VALUE!</v>
      </c>
    </row>
    <row r="9" spans="1:18" s="31" customFormat="1" ht="15" customHeight="1" x14ac:dyDescent="0.25">
      <c r="A9" s="31" t="s">
        <v>33</v>
      </c>
      <c r="B9" s="31" t="s">
        <v>34</v>
      </c>
      <c r="C9" s="31" t="s">
        <v>29</v>
      </c>
      <c r="D9" s="31" t="s">
        <v>35</v>
      </c>
      <c r="E9" s="19" t="s">
        <v>232</v>
      </c>
      <c r="F9" s="19" t="s">
        <v>232</v>
      </c>
      <c r="G9" s="19" t="e">
        <f t="shared" si="1"/>
        <v>#VALUE!</v>
      </c>
      <c r="H9" s="37">
        <f t="shared" si="2"/>
        <v>0</v>
      </c>
      <c r="I9" s="30">
        <v>1100000</v>
      </c>
      <c r="J9" s="30">
        <v>35000</v>
      </c>
      <c r="K9" s="24">
        <f t="shared" si="3"/>
        <v>65625</v>
      </c>
      <c r="L9" s="24" t="e">
        <f t="shared" si="4"/>
        <v>#VALUE!</v>
      </c>
      <c r="M9" s="36">
        <f t="shared" si="5"/>
        <v>0</v>
      </c>
      <c r="N9" s="30">
        <v>0</v>
      </c>
      <c r="O9" s="24">
        <f t="shared" si="6"/>
        <v>0</v>
      </c>
      <c r="P9" s="23" t="e">
        <f t="shared" si="0"/>
        <v>#VALUE!</v>
      </c>
      <c r="Q9" s="23" t="e">
        <f t="shared" si="7"/>
        <v>#VALUE!</v>
      </c>
      <c r="R9" s="23" t="e">
        <f t="shared" si="8"/>
        <v>#VALUE!</v>
      </c>
    </row>
    <row r="10" spans="1:18" ht="15" customHeight="1" x14ac:dyDescent="0.25">
      <c r="A10" s="19" t="s">
        <v>36</v>
      </c>
      <c r="B10" s="19" t="s">
        <v>37</v>
      </c>
      <c r="C10" s="19" t="s">
        <v>18</v>
      </c>
      <c r="D10" s="19" t="s">
        <v>35</v>
      </c>
      <c r="E10" s="19" t="s">
        <v>232</v>
      </c>
      <c r="F10" s="19" t="s">
        <v>232</v>
      </c>
      <c r="G10" s="19" t="e">
        <f t="shared" si="1"/>
        <v>#VALUE!</v>
      </c>
      <c r="H10" s="37">
        <f t="shared" si="2"/>
        <v>0</v>
      </c>
      <c r="I10" s="24">
        <v>1100000</v>
      </c>
      <c r="J10" s="24">
        <v>35000</v>
      </c>
      <c r="K10" s="24">
        <f t="shared" si="3"/>
        <v>65625</v>
      </c>
      <c r="L10" s="24" t="e">
        <f t="shared" si="4"/>
        <v>#VALUE!</v>
      </c>
      <c r="M10" s="36">
        <f t="shared" si="5"/>
        <v>0</v>
      </c>
      <c r="N10" s="24">
        <v>23990886710.821796</v>
      </c>
      <c r="O10" s="24">
        <f t="shared" si="6"/>
        <v>359863300662.32697</v>
      </c>
      <c r="P10" s="23" t="e">
        <f t="shared" si="0"/>
        <v>#VALUE!</v>
      </c>
      <c r="Q10" s="23" t="e">
        <f t="shared" si="7"/>
        <v>#VALUE!</v>
      </c>
      <c r="R10" s="23" t="e">
        <f t="shared" si="8"/>
        <v>#VALUE!</v>
      </c>
    </row>
    <row r="11" spans="1:18" ht="15" customHeight="1" x14ac:dyDescent="0.25">
      <c r="A11" s="19" t="s">
        <v>38</v>
      </c>
      <c r="B11" s="19" t="s">
        <v>39</v>
      </c>
      <c r="C11" s="19" t="s">
        <v>40</v>
      </c>
      <c r="D11" s="19" t="s">
        <v>19</v>
      </c>
      <c r="E11" s="19">
        <v>7749</v>
      </c>
      <c r="F11" s="19" t="s">
        <v>232</v>
      </c>
      <c r="G11" s="19" t="e">
        <f t="shared" si="1"/>
        <v>#VALUE!</v>
      </c>
      <c r="H11" s="37">
        <f t="shared" si="2"/>
        <v>0</v>
      </c>
      <c r="I11" s="24">
        <v>1100000</v>
      </c>
      <c r="J11" s="24">
        <v>33000</v>
      </c>
      <c r="K11" s="24">
        <f t="shared" si="3"/>
        <v>61875</v>
      </c>
      <c r="L11" s="24" t="e">
        <f t="shared" si="4"/>
        <v>#VALUE!</v>
      </c>
      <c r="M11" s="36">
        <f t="shared" si="5"/>
        <v>0</v>
      </c>
      <c r="N11" s="24">
        <v>346885961.37184739</v>
      </c>
      <c r="O11" s="24">
        <f t="shared" si="6"/>
        <v>5203289420.5777111</v>
      </c>
      <c r="P11" s="23" t="e">
        <f t="shared" si="0"/>
        <v>#VALUE!</v>
      </c>
      <c r="Q11" s="23" t="e">
        <f t="shared" si="7"/>
        <v>#VALUE!</v>
      </c>
      <c r="R11" s="23" t="e">
        <f t="shared" si="8"/>
        <v>#VALUE!</v>
      </c>
    </row>
    <row r="12" spans="1:18" ht="15" customHeight="1" x14ac:dyDescent="0.25">
      <c r="A12" s="19" t="s">
        <v>41</v>
      </c>
      <c r="B12" s="19" t="s">
        <v>42</v>
      </c>
      <c r="C12" s="19" t="s">
        <v>29</v>
      </c>
      <c r="D12" s="19" t="s">
        <v>35</v>
      </c>
      <c r="E12" s="19" t="s">
        <v>232</v>
      </c>
      <c r="F12" s="19" t="s">
        <v>232</v>
      </c>
      <c r="G12" s="19" t="e">
        <f t="shared" si="1"/>
        <v>#VALUE!</v>
      </c>
      <c r="H12" s="37">
        <f t="shared" si="2"/>
        <v>0</v>
      </c>
      <c r="I12" s="24">
        <v>1100000</v>
      </c>
      <c r="J12" s="24">
        <v>35000</v>
      </c>
      <c r="K12" s="24">
        <f t="shared" si="3"/>
        <v>65625</v>
      </c>
      <c r="L12" s="24" t="e">
        <f t="shared" si="4"/>
        <v>#VALUE!</v>
      </c>
      <c r="M12" s="36">
        <f t="shared" si="5"/>
        <v>0</v>
      </c>
      <c r="N12" s="24">
        <v>93353.484085037111</v>
      </c>
      <c r="O12" s="24">
        <f t="shared" si="6"/>
        <v>1400302.2612755566</v>
      </c>
      <c r="P12" s="23" t="e">
        <f t="shared" si="0"/>
        <v>#VALUE!</v>
      </c>
      <c r="Q12" s="23" t="e">
        <f t="shared" si="7"/>
        <v>#VALUE!</v>
      </c>
      <c r="R12" s="23" t="e">
        <f t="shared" si="8"/>
        <v>#VALUE!</v>
      </c>
    </row>
    <row r="13" spans="1:18" ht="15" customHeight="1" x14ac:dyDescent="0.25">
      <c r="A13" s="19" t="s">
        <v>43</v>
      </c>
      <c r="B13" s="19" t="s">
        <v>44</v>
      </c>
      <c r="C13" s="19" t="s">
        <v>45</v>
      </c>
      <c r="D13" s="19" t="s">
        <v>26</v>
      </c>
      <c r="E13" s="19">
        <v>825592</v>
      </c>
      <c r="F13" s="21">
        <v>43.335933487727601</v>
      </c>
      <c r="G13" s="19">
        <f t="shared" si="1"/>
        <v>467814</v>
      </c>
      <c r="H13" s="37">
        <f t="shared" si="2"/>
        <v>467814</v>
      </c>
      <c r="I13" s="24" t="s">
        <v>232</v>
      </c>
      <c r="J13" s="24" t="s">
        <v>232</v>
      </c>
      <c r="K13" s="24" t="e">
        <f t="shared" si="3"/>
        <v>#VALUE!</v>
      </c>
      <c r="L13" s="24" t="e">
        <f t="shared" si="4"/>
        <v>#VALUE!</v>
      </c>
      <c r="M13" s="36">
        <f t="shared" si="5"/>
        <v>0</v>
      </c>
      <c r="N13" s="24">
        <v>111498672067.56895</v>
      </c>
      <c r="O13" s="24">
        <f t="shared" si="6"/>
        <v>1672480081013.5344</v>
      </c>
      <c r="P13" s="23" t="e">
        <f t="shared" si="0"/>
        <v>#VALUE!</v>
      </c>
      <c r="Q13" s="23" t="e">
        <f t="shared" si="7"/>
        <v>#VALUE!</v>
      </c>
      <c r="R13" s="23" t="e">
        <f t="shared" si="8"/>
        <v>#VALUE!</v>
      </c>
    </row>
    <row r="14" spans="1:18" ht="15" customHeight="1" x14ac:dyDescent="0.25">
      <c r="A14" s="19" t="s">
        <v>46</v>
      </c>
      <c r="B14" s="19" t="s">
        <v>47</v>
      </c>
      <c r="C14" s="19" t="s">
        <v>45</v>
      </c>
      <c r="D14" s="19" t="s">
        <v>19</v>
      </c>
      <c r="E14" s="19">
        <v>110206</v>
      </c>
      <c r="F14" s="21">
        <v>100</v>
      </c>
      <c r="G14" s="19">
        <f t="shared" si="1"/>
        <v>0</v>
      </c>
      <c r="H14" s="37">
        <f t="shared" si="2"/>
        <v>0</v>
      </c>
      <c r="I14" s="24" t="s">
        <v>232</v>
      </c>
      <c r="J14" s="24" t="s">
        <v>232</v>
      </c>
      <c r="K14" s="24" t="e">
        <f t="shared" si="3"/>
        <v>#VALUE!</v>
      </c>
      <c r="L14" s="24" t="e">
        <f t="shared" si="4"/>
        <v>#VALUE!</v>
      </c>
      <c r="M14" s="36">
        <f t="shared" si="5"/>
        <v>0</v>
      </c>
      <c r="N14" s="24">
        <v>1711085863.7734871</v>
      </c>
      <c r="O14" s="24">
        <f t="shared" si="6"/>
        <v>25666287956.602306</v>
      </c>
      <c r="P14" s="23" t="e">
        <f t="shared" si="0"/>
        <v>#VALUE!</v>
      </c>
      <c r="Q14" s="23" t="e">
        <f t="shared" si="7"/>
        <v>#VALUE!</v>
      </c>
      <c r="R14" s="23" t="e">
        <f t="shared" si="8"/>
        <v>#VALUE!</v>
      </c>
    </row>
    <row r="15" spans="1:18" ht="15" customHeight="1" x14ac:dyDescent="0.25">
      <c r="A15" s="19" t="s">
        <v>48</v>
      </c>
      <c r="B15" s="19" t="s">
        <v>49</v>
      </c>
      <c r="C15" s="19" t="s">
        <v>18</v>
      </c>
      <c r="D15" s="19" t="s">
        <v>19</v>
      </c>
      <c r="E15" s="19">
        <v>18977</v>
      </c>
      <c r="F15" s="21">
        <v>54.692522527269901</v>
      </c>
      <c r="G15" s="19">
        <f t="shared" si="1"/>
        <v>8597.9999999999909</v>
      </c>
      <c r="H15" s="37">
        <f t="shared" si="2"/>
        <v>8597.9999999999909</v>
      </c>
      <c r="I15" s="24">
        <v>1100000</v>
      </c>
      <c r="J15" s="24">
        <v>33000</v>
      </c>
      <c r="K15" s="24">
        <f t="shared" si="3"/>
        <v>61875</v>
      </c>
      <c r="L15" s="24">
        <f t="shared" si="4"/>
        <v>9989801249.9999886</v>
      </c>
      <c r="M15" s="36">
        <f t="shared" si="5"/>
        <v>9989801249.9999886</v>
      </c>
      <c r="N15" s="24">
        <v>24407648660.104939</v>
      </c>
      <c r="O15" s="24">
        <f t="shared" si="6"/>
        <v>366114729901.5741</v>
      </c>
      <c r="P15" s="23">
        <f t="shared" si="0"/>
        <v>2.7285985605347361E-2</v>
      </c>
      <c r="Q15" s="23">
        <f t="shared" si="7"/>
        <v>9.0953285351157882E-3</v>
      </c>
      <c r="R15" s="23">
        <f t="shared" si="8"/>
        <v>8.1857956816042091E-2</v>
      </c>
    </row>
    <row r="16" spans="1:18" ht="15" customHeight="1" x14ac:dyDescent="0.25">
      <c r="A16" s="19" t="s">
        <v>50</v>
      </c>
      <c r="B16" s="19" t="s">
        <v>51</v>
      </c>
      <c r="C16" s="19" t="s">
        <v>29</v>
      </c>
      <c r="D16" s="19" t="s">
        <v>35</v>
      </c>
      <c r="E16" s="19" t="s">
        <v>232</v>
      </c>
      <c r="F16" s="19" t="s">
        <v>232</v>
      </c>
      <c r="G16" s="19" t="e">
        <f t="shared" si="1"/>
        <v>#VALUE!</v>
      </c>
      <c r="H16" s="37">
        <f t="shared" si="2"/>
        <v>0</v>
      </c>
      <c r="I16" s="24">
        <v>1100000</v>
      </c>
      <c r="J16" s="24">
        <v>35000</v>
      </c>
      <c r="K16" s="24">
        <f t="shared" si="3"/>
        <v>65625</v>
      </c>
      <c r="L16" s="24" t="e">
        <f t="shared" si="4"/>
        <v>#VALUE!</v>
      </c>
      <c r="M16" s="36">
        <f t="shared" si="5"/>
        <v>0</v>
      </c>
      <c r="N16" s="24">
        <v>2651920.615148271</v>
      </c>
      <c r="O16" s="24">
        <f t="shared" si="6"/>
        <v>39778809.227224067</v>
      </c>
      <c r="P16" s="23" t="e">
        <f t="shared" si="0"/>
        <v>#VALUE!</v>
      </c>
      <c r="Q16" s="23" t="e">
        <f t="shared" si="7"/>
        <v>#VALUE!</v>
      </c>
      <c r="R16" s="23" t="e">
        <f t="shared" si="8"/>
        <v>#VALUE!</v>
      </c>
    </row>
    <row r="17" spans="1:18" ht="15" customHeight="1" x14ac:dyDescent="0.25">
      <c r="A17" s="19" t="s">
        <v>52</v>
      </c>
      <c r="B17" s="19" t="s">
        <v>53</v>
      </c>
      <c r="C17" s="19" t="s">
        <v>29</v>
      </c>
      <c r="D17" s="19" t="s">
        <v>22</v>
      </c>
      <c r="E17" s="19">
        <v>4122</v>
      </c>
      <c r="F17" s="21">
        <v>82.12</v>
      </c>
      <c r="G17" s="19">
        <f t="shared" si="1"/>
        <v>737.01359999999988</v>
      </c>
      <c r="H17" s="37">
        <f t="shared" si="2"/>
        <v>737.01359999999988</v>
      </c>
      <c r="I17" s="24">
        <v>1000000</v>
      </c>
      <c r="J17" s="24">
        <v>30000</v>
      </c>
      <c r="K17" s="24">
        <f t="shared" si="3"/>
        <v>56250</v>
      </c>
      <c r="L17" s="24">
        <f t="shared" si="4"/>
        <v>778470614.99999988</v>
      </c>
      <c r="M17" s="36">
        <f t="shared" si="5"/>
        <v>778470614.99999988</v>
      </c>
      <c r="N17" s="24">
        <v>5828990079.2173672</v>
      </c>
      <c r="O17" s="24">
        <f t="shared" si="6"/>
        <v>87434851188.260513</v>
      </c>
      <c r="P17" s="23">
        <f t="shared" si="0"/>
        <v>8.9034361518364625E-3</v>
      </c>
      <c r="Q17" s="23">
        <f t="shared" si="7"/>
        <v>2.9678120506121536E-3</v>
      </c>
      <c r="R17" s="23">
        <f t="shared" si="8"/>
        <v>2.6710308455509386E-2</v>
      </c>
    </row>
    <row r="18" spans="1:18" ht="15" customHeight="1" x14ac:dyDescent="0.25">
      <c r="A18" s="19" t="s">
        <v>55</v>
      </c>
      <c r="B18" s="19" t="s">
        <v>56</v>
      </c>
      <c r="C18" s="19" t="s">
        <v>14</v>
      </c>
      <c r="D18" s="19" t="s">
        <v>15</v>
      </c>
      <c r="E18" s="19" t="s">
        <v>232</v>
      </c>
      <c r="F18" s="19" t="s">
        <v>232</v>
      </c>
      <c r="G18" s="19" t="e">
        <f t="shared" si="1"/>
        <v>#VALUE!</v>
      </c>
      <c r="H18" s="37">
        <f t="shared" si="2"/>
        <v>0</v>
      </c>
      <c r="I18" s="24" t="s">
        <v>232</v>
      </c>
      <c r="J18" s="24" t="s">
        <v>232</v>
      </c>
      <c r="K18" s="24" t="e">
        <f t="shared" si="3"/>
        <v>#VALUE!</v>
      </c>
      <c r="L18" s="24" t="e">
        <f t="shared" si="4"/>
        <v>#VALUE!</v>
      </c>
      <c r="M18" s="36">
        <f t="shared" si="5"/>
        <v>0</v>
      </c>
      <c r="N18" s="24">
        <v>5122872663.1918049</v>
      </c>
      <c r="O18" s="24">
        <f t="shared" si="6"/>
        <v>76843089947.877075</v>
      </c>
      <c r="P18" s="23" t="e">
        <f t="shared" si="0"/>
        <v>#VALUE!</v>
      </c>
      <c r="Q18" s="23" t="e">
        <f t="shared" si="7"/>
        <v>#VALUE!</v>
      </c>
      <c r="R18" s="23" t="e">
        <f t="shared" si="8"/>
        <v>#VALUE!</v>
      </c>
    </row>
    <row r="19" spans="1:18" ht="15" customHeight="1" x14ac:dyDescent="0.25">
      <c r="A19" s="19" t="s">
        <v>57</v>
      </c>
      <c r="B19" s="19" t="s">
        <v>58</v>
      </c>
      <c r="C19" s="19" t="s">
        <v>29</v>
      </c>
      <c r="D19" s="19" t="s">
        <v>35</v>
      </c>
      <c r="E19" s="19" t="s">
        <v>232</v>
      </c>
      <c r="F19" s="19" t="s">
        <v>232</v>
      </c>
      <c r="G19" s="19" t="e">
        <f t="shared" si="1"/>
        <v>#VALUE!</v>
      </c>
      <c r="H19" s="37">
        <f t="shared" si="2"/>
        <v>0</v>
      </c>
      <c r="I19" s="24">
        <v>1100000</v>
      </c>
      <c r="J19" s="24">
        <v>35000</v>
      </c>
      <c r="K19" s="24">
        <f t="shared" si="3"/>
        <v>65625</v>
      </c>
      <c r="L19" s="24" t="e">
        <f t="shared" si="4"/>
        <v>#VALUE!</v>
      </c>
      <c r="M19" s="36">
        <f t="shared" si="5"/>
        <v>0</v>
      </c>
      <c r="N19" s="24">
        <v>1055471.7325739102</v>
      </c>
      <c r="O19" s="24">
        <f t="shared" si="6"/>
        <v>15832075.988608653</v>
      </c>
      <c r="P19" s="23" t="e">
        <f t="shared" si="0"/>
        <v>#VALUE!</v>
      </c>
      <c r="Q19" s="23" t="e">
        <f t="shared" si="7"/>
        <v>#VALUE!</v>
      </c>
      <c r="R19" s="23" t="e">
        <f t="shared" si="8"/>
        <v>#VALUE!</v>
      </c>
    </row>
    <row r="20" spans="1:18" ht="15" customHeight="1" x14ac:dyDescent="0.25">
      <c r="A20" s="19" t="s">
        <v>59</v>
      </c>
      <c r="B20" s="19" t="s">
        <v>60</v>
      </c>
      <c r="C20" s="19" t="s">
        <v>18</v>
      </c>
      <c r="D20" s="19" t="s">
        <v>19</v>
      </c>
      <c r="E20" s="19">
        <v>86392</v>
      </c>
      <c r="F20" s="21">
        <v>86.408463746643207</v>
      </c>
      <c r="G20" s="19">
        <f t="shared" si="1"/>
        <v>11742.000000000002</v>
      </c>
      <c r="H20" s="37">
        <f t="shared" si="2"/>
        <v>11742.000000000002</v>
      </c>
      <c r="I20" s="24">
        <v>1100000</v>
      </c>
      <c r="J20" s="24">
        <v>33000</v>
      </c>
      <c r="K20" s="24">
        <f t="shared" si="3"/>
        <v>61875</v>
      </c>
      <c r="L20" s="24">
        <f t="shared" si="4"/>
        <v>13642736250.000002</v>
      </c>
      <c r="M20" s="36">
        <f t="shared" si="5"/>
        <v>13642736250.000002</v>
      </c>
      <c r="N20" s="24">
        <v>1379214938.7502549</v>
      </c>
      <c r="O20" s="24">
        <f t="shared" si="6"/>
        <v>20688224081.253822</v>
      </c>
      <c r="P20" s="23">
        <f t="shared" si="0"/>
        <v>0.65944453213662091</v>
      </c>
      <c r="Q20" s="23">
        <f t="shared" si="7"/>
        <v>0.21981484404554033</v>
      </c>
      <c r="R20" s="23">
        <f t="shared" si="8"/>
        <v>1.9783335964098629</v>
      </c>
    </row>
    <row r="21" spans="1:18" ht="15" customHeight="1" x14ac:dyDescent="0.25">
      <c r="A21" s="19" t="s">
        <v>61</v>
      </c>
      <c r="B21" s="19" t="s">
        <v>62</v>
      </c>
      <c r="C21" s="19" t="s">
        <v>45</v>
      </c>
      <c r="D21" s="19" t="s">
        <v>19</v>
      </c>
      <c r="E21" s="19">
        <v>154012</v>
      </c>
      <c r="F21" s="21">
        <v>78.248448172869601</v>
      </c>
      <c r="G21" s="19">
        <f t="shared" si="1"/>
        <v>33500.000000000073</v>
      </c>
      <c r="H21" s="37">
        <f t="shared" si="2"/>
        <v>33500.000000000073</v>
      </c>
      <c r="I21" s="24" t="s">
        <v>232</v>
      </c>
      <c r="J21" s="24" t="s">
        <v>232</v>
      </c>
      <c r="K21" s="24" t="e">
        <f t="shared" si="3"/>
        <v>#VALUE!</v>
      </c>
      <c r="L21" s="24" t="e">
        <f t="shared" si="4"/>
        <v>#VALUE!</v>
      </c>
      <c r="M21" s="36">
        <f t="shared" si="5"/>
        <v>0</v>
      </c>
      <c r="N21" s="24">
        <v>306181202.30001646</v>
      </c>
      <c r="O21" s="24">
        <f t="shared" si="6"/>
        <v>4592718034.500247</v>
      </c>
      <c r="P21" s="23" t="e">
        <f t="shared" si="0"/>
        <v>#VALUE!</v>
      </c>
      <c r="Q21" s="23" t="e">
        <f t="shared" si="7"/>
        <v>#VALUE!</v>
      </c>
      <c r="R21" s="23" t="e">
        <f t="shared" si="8"/>
        <v>#VALUE!</v>
      </c>
    </row>
    <row r="22" spans="1:18" ht="15" customHeight="1" x14ac:dyDescent="0.25">
      <c r="A22" s="19" t="s">
        <v>63</v>
      </c>
      <c r="B22" s="19" t="s">
        <v>64</v>
      </c>
      <c r="C22" s="19" t="s">
        <v>18</v>
      </c>
      <c r="D22" s="19" t="s">
        <v>35</v>
      </c>
      <c r="E22" s="19" t="s">
        <v>232</v>
      </c>
      <c r="F22" s="19" t="s">
        <v>232</v>
      </c>
      <c r="G22" s="19" t="e">
        <f t="shared" si="1"/>
        <v>#VALUE!</v>
      </c>
      <c r="H22" s="37">
        <f t="shared" si="2"/>
        <v>0</v>
      </c>
      <c r="I22" s="24">
        <v>1100000</v>
      </c>
      <c r="J22" s="24">
        <v>35000</v>
      </c>
      <c r="K22" s="24">
        <f t="shared" si="3"/>
        <v>65625</v>
      </c>
      <c r="L22" s="24" t="e">
        <f t="shared" si="4"/>
        <v>#VALUE!</v>
      </c>
      <c r="M22" s="36">
        <f t="shared" si="5"/>
        <v>0</v>
      </c>
      <c r="N22" s="24">
        <v>14107420.288951172</v>
      </c>
      <c r="O22" s="24">
        <f t="shared" si="6"/>
        <v>211611304.33426759</v>
      </c>
      <c r="P22" s="23" t="e">
        <f t="shared" si="0"/>
        <v>#VALUE!</v>
      </c>
      <c r="Q22" s="23" t="e">
        <f t="shared" si="7"/>
        <v>#VALUE!</v>
      </c>
      <c r="R22" s="23" t="e">
        <f t="shared" si="8"/>
        <v>#VALUE!</v>
      </c>
    </row>
    <row r="23" spans="1:18" ht="15" customHeight="1" x14ac:dyDescent="0.25">
      <c r="A23" s="19" t="s">
        <v>65</v>
      </c>
      <c r="B23" s="19" t="s">
        <v>66</v>
      </c>
      <c r="C23" s="19" t="s">
        <v>14</v>
      </c>
      <c r="D23" s="19" t="s">
        <v>32</v>
      </c>
      <c r="E23" s="19" t="s">
        <v>232</v>
      </c>
      <c r="F23" s="19" t="s">
        <v>232</v>
      </c>
      <c r="G23" s="19" t="e">
        <f t="shared" si="1"/>
        <v>#VALUE!</v>
      </c>
      <c r="H23" s="37">
        <f t="shared" si="2"/>
        <v>0</v>
      </c>
      <c r="I23" s="24">
        <v>1200000</v>
      </c>
      <c r="J23" s="24">
        <v>35000</v>
      </c>
      <c r="K23" s="24">
        <f t="shared" si="3"/>
        <v>65625</v>
      </c>
      <c r="L23" s="24" t="e">
        <f t="shared" si="4"/>
        <v>#VALUE!</v>
      </c>
      <c r="M23" s="36">
        <f t="shared" si="5"/>
        <v>0</v>
      </c>
      <c r="N23" s="24">
        <v>358790876.29676551</v>
      </c>
      <c r="O23" s="24">
        <f t="shared" si="6"/>
        <v>5381863144.4514828</v>
      </c>
      <c r="P23" s="23" t="e">
        <f t="shared" si="0"/>
        <v>#VALUE!</v>
      </c>
      <c r="Q23" s="23" t="e">
        <f t="shared" si="7"/>
        <v>#VALUE!</v>
      </c>
      <c r="R23" s="23" t="e">
        <f t="shared" si="8"/>
        <v>#VALUE!</v>
      </c>
    </row>
    <row r="24" spans="1:18" s="31" customFormat="1" ht="15" customHeight="1" x14ac:dyDescent="0.25">
      <c r="A24" s="31" t="s">
        <v>67</v>
      </c>
      <c r="B24" s="31" t="s">
        <v>68</v>
      </c>
      <c r="C24" s="31" t="s">
        <v>29</v>
      </c>
      <c r="D24" s="31" t="s">
        <v>69</v>
      </c>
      <c r="E24" s="19" t="s">
        <v>232</v>
      </c>
      <c r="F24" s="19" t="s">
        <v>232</v>
      </c>
      <c r="G24" s="19" t="e">
        <f t="shared" si="1"/>
        <v>#VALUE!</v>
      </c>
      <c r="H24" s="37">
        <f t="shared" si="2"/>
        <v>0</v>
      </c>
      <c r="I24" s="24" t="s">
        <v>232</v>
      </c>
      <c r="J24" s="24" t="s">
        <v>232</v>
      </c>
      <c r="K24" s="24" t="e">
        <f t="shared" si="3"/>
        <v>#VALUE!</v>
      </c>
      <c r="L24" s="24" t="e">
        <f t="shared" si="4"/>
        <v>#VALUE!</v>
      </c>
      <c r="M24" s="36">
        <f t="shared" si="5"/>
        <v>0</v>
      </c>
      <c r="N24" s="30">
        <v>0</v>
      </c>
      <c r="O24" s="24">
        <f t="shared" si="6"/>
        <v>0</v>
      </c>
      <c r="P24" s="23" t="e">
        <f t="shared" si="0"/>
        <v>#VALUE!</v>
      </c>
      <c r="Q24" s="23" t="e">
        <f t="shared" si="7"/>
        <v>#VALUE!</v>
      </c>
      <c r="R24" s="23" t="e">
        <f t="shared" si="8"/>
        <v>#VALUE!</v>
      </c>
    </row>
    <row r="25" spans="1:18" ht="15" customHeight="1" x14ac:dyDescent="0.25">
      <c r="A25" s="19" t="s">
        <v>70</v>
      </c>
      <c r="B25" s="19" t="s">
        <v>71</v>
      </c>
      <c r="C25" s="19" t="s">
        <v>40</v>
      </c>
      <c r="D25" s="19" t="s">
        <v>15</v>
      </c>
      <c r="E25" s="19">
        <v>6920.2</v>
      </c>
      <c r="F25" s="21">
        <v>40.383225918326097</v>
      </c>
      <c r="G25" s="19">
        <f t="shared" si="1"/>
        <v>4125.5999999999967</v>
      </c>
      <c r="H25" s="37">
        <f t="shared" si="2"/>
        <v>4125.5999999999967</v>
      </c>
      <c r="I25" s="24">
        <v>1100000</v>
      </c>
      <c r="J25" s="24">
        <v>33000</v>
      </c>
      <c r="K25" s="24">
        <f t="shared" si="3"/>
        <v>61875</v>
      </c>
      <c r="L25" s="24">
        <f t="shared" si="4"/>
        <v>4793431499.9999962</v>
      </c>
      <c r="M25" s="36">
        <f t="shared" si="5"/>
        <v>4793431499.9999962</v>
      </c>
      <c r="N25" s="24">
        <v>384755041.17597884</v>
      </c>
      <c r="O25" s="24">
        <f t="shared" si="6"/>
        <v>5771325617.6396828</v>
      </c>
      <c r="P25" s="23">
        <f t="shared" si="0"/>
        <v>0.83055987784663954</v>
      </c>
      <c r="Q25" s="23">
        <f t="shared" si="7"/>
        <v>0.27685329261554648</v>
      </c>
      <c r="R25" s="23">
        <f t="shared" si="8"/>
        <v>2.4916796335399183</v>
      </c>
    </row>
    <row r="26" spans="1:18" ht="15" customHeight="1" x14ac:dyDescent="0.25">
      <c r="A26" s="19" t="s">
        <v>72</v>
      </c>
      <c r="B26" s="19" t="s">
        <v>73</v>
      </c>
      <c r="C26" s="19" t="s">
        <v>40</v>
      </c>
      <c r="D26" s="19" t="s">
        <v>35</v>
      </c>
      <c r="E26" s="19">
        <v>81124</v>
      </c>
      <c r="F26" s="21">
        <v>10.471623687194899</v>
      </c>
      <c r="G26" s="19">
        <f t="shared" si="1"/>
        <v>72629.000000000015</v>
      </c>
      <c r="H26" s="37">
        <f t="shared" si="2"/>
        <v>72629.000000000015</v>
      </c>
      <c r="I26" s="24">
        <v>1100000</v>
      </c>
      <c r="J26" s="24">
        <v>35000</v>
      </c>
      <c r="K26" s="24">
        <f t="shared" si="3"/>
        <v>65625</v>
      </c>
      <c r="L26" s="24">
        <f t="shared" si="4"/>
        <v>84658178125.000015</v>
      </c>
      <c r="M26" s="36">
        <f t="shared" si="5"/>
        <v>84658178125.000015</v>
      </c>
      <c r="N26" s="24">
        <v>3943593093.8863621</v>
      </c>
      <c r="O26" s="24">
        <f t="shared" si="6"/>
        <v>59153896408.295433</v>
      </c>
      <c r="P26" s="23">
        <f t="shared" si="0"/>
        <v>1.4311513402374623</v>
      </c>
      <c r="Q26" s="23">
        <f t="shared" si="7"/>
        <v>0.47705044674582076</v>
      </c>
      <c r="R26" s="23">
        <f t="shared" si="8"/>
        <v>4.293454020712387</v>
      </c>
    </row>
    <row r="27" spans="1:18" ht="15" customHeight="1" x14ac:dyDescent="0.25">
      <c r="A27" s="19" t="s">
        <v>74</v>
      </c>
      <c r="B27" s="19" t="s">
        <v>75</v>
      </c>
      <c r="C27" s="19" t="s">
        <v>18</v>
      </c>
      <c r="D27" s="19" t="s">
        <v>19</v>
      </c>
      <c r="E27" s="19">
        <v>22703</v>
      </c>
      <c r="F27" s="21">
        <v>92.058318283927207</v>
      </c>
      <c r="G27" s="19">
        <f t="shared" si="1"/>
        <v>1803.0000000000057</v>
      </c>
      <c r="H27" s="37">
        <f t="shared" si="2"/>
        <v>1803.0000000000057</v>
      </c>
      <c r="I27" s="24">
        <v>1100000</v>
      </c>
      <c r="J27" s="24">
        <v>33000</v>
      </c>
      <c r="K27" s="24">
        <f t="shared" si="3"/>
        <v>61875</v>
      </c>
      <c r="L27" s="24">
        <f t="shared" si="4"/>
        <v>2094860625.0000067</v>
      </c>
      <c r="M27" s="36">
        <f t="shared" si="5"/>
        <v>2094860625.0000067</v>
      </c>
      <c r="N27" s="24">
        <v>595625627.44246328</v>
      </c>
      <c r="O27" s="24">
        <f t="shared" si="6"/>
        <v>8934384411.6369495</v>
      </c>
      <c r="P27" s="23">
        <f t="shared" si="0"/>
        <v>0.23447173621402173</v>
      </c>
      <c r="Q27" s="23">
        <f t="shared" si="7"/>
        <v>7.8157245404673906E-2</v>
      </c>
      <c r="R27" s="23">
        <f t="shared" si="8"/>
        <v>0.70341520864206519</v>
      </c>
    </row>
    <row r="28" spans="1:18" ht="15" customHeight="1" x14ac:dyDescent="0.25">
      <c r="A28" s="19" t="s">
        <v>76</v>
      </c>
      <c r="B28" s="19" t="s">
        <v>77</v>
      </c>
      <c r="C28" s="19" t="s">
        <v>18</v>
      </c>
      <c r="D28" s="19" t="s">
        <v>32</v>
      </c>
      <c r="E28" s="19" t="s">
        <v>232</v>
      </c>
      <c r="F28" s="19" t="s">
        <v>232</v>
      </c>
      <c r="G28" s="19" t="e">
        <f t="shared" si="1"/>
        <v>#VALUE!</v>
      </c>
      <c r="H28" s="37">
        <f t="shared" si="2"/>
        <v>0</v>
      </c>
      <c r="I28" s="24">
        <v>1200000</v>
      </c>
      <c r="J28" s="24">
        <v>35000</v>
      </c>
      <c r="K28" s="24">
        <f t="shared" si="3"/>
        <v>65625</v>
      </c>
      <c r="L28" s="24" t="e">
        <f t="shared" si="4"/>
        <v>#VALUE!</v>
      </c>
      <c r="M28" s="36">
        <f t="shared" si="5"/>
        <v>0</v>
      </c>
      <c r="N28" s="24">
        <v>686157389.38852191</v>
      </c>
      <c r="O28" s="24">
        <f t="shared" si="6"/>
        <v>10292360840.827829</v>
      </c>
      <c r="P28" s="23" t="e">
        <f t="shared" si="0"/>
        <v>#VALUE!</v>
      </c>
      <c r="Q28" s="23" t="e">
        <f t="shared" si="7"/>
        <v>#VALUE!</v>
      </c>
      <c r="R28" s="23" t="e">
        <f t="shared" si="8"/>
        <v>#VALUE!</v>
      </c>
    </row>
    <row r="29" spans="1:18" ht="15" customHeight="1" x14ac:dyDescent="0.25">
      <c r="A29" s="19" t="s">
        <v>78</v>
      </c>
      <c r="B29" s="19" t="s">
        <v>79</v>
      </c>
      <c r="C29" s="19" t="s">
        <v>18</v>
      </c>
      <c r="D29" s="19" t="s">
        <v>35</v>
      </c>
      <c r="E29" s="19">
        <v>1580964</v>
      </c>
      <c r="F29" s="21">
        <v>13.456</v>
      </c>
      <c r="G29" s="19">
        <f t="shared" si="1"/>
        <v>1368229.48416</v>
      </c>
      <c r="H29" s="37">
        <f t="shared" si="2"/>
        <v>1368229.48416</v>
      </c>
      <c r="I29" s="24">
        <v>1100000</v>
      </c>
      <c r="J29" s="24">
        <v>35000</v>
      </c>
      <c r="K29" s="24">
        <f t="shared" si="3"/>
        <v>65625</v>
      </c>
      <c r="L29" s="24">
        <f t="shared" si="4"/>
        <v>1594842492474</v>
      </c>
      <c r="M29" s="36">
        <f t="shared" si="5"/>
        <v>1594842492474</v>
      </c>
      <c r="N29" s="24">
        <v>131651047125.59688</v>
      </c>
      <c r="O29" s="24">
        <f t="shared" si="6"/>
        <v>1974765706883.9531</v>
      </c>
      <c r="P29" s="23">
        <f t="shared" si="0"/>
        <v>0.80761099249113133</v>
      </c>
      <c r="Q29" s="23">
        <f t="shared" si="7"/>
        <v>0.26920366416371044</v>
      </c>
      <c r="R29" s="23">
        <f t="shared" si="8"/>
        <v>2.4228329774733943</v>
      </c>
    </row>
    <row r="30" spans="1:18" ht="15" customHeight="1" x14ac:dyDescent="0.25">
      <c r="A30" s="19" t="s">
        <v>80</v>
      </c>
      <c r="B30" s="19" t="s">
        <v>81</v>
      </c>
      <c r="C30" s="19" t="s">
        <v>29</v>
      </c>
      <c r="D30" s="19" t="s">
        <v>26</v>
      </c>
      <c r="E30" s="19">
        <v>3028.11</v>
      </c>
      <c r="F30" s="21">
        <v>80.397013318538598</v>
      </c>
      <c r="G30" s="19">
        <f t="shared" si="1"/>
        <v>593.60000000000082</v>
      </c>
      <c r="H30" s="37">
        <f t="shared" si="2"/>
        <v>593.60000000000082</v>
      </c>
      <c r="I30" s="24">
        <v>1100000</v>
      </c>
      <c r="J30" s="24">
        <v>33000</v>
      </c>
      <c r="K30" s="24">
        <f t="shared" si="3"/>
        <v>61875</v>
      </c>
      <c r="L30" s="24">
        <f t="shared" si="4"/>
        <v>689689000.00000095</v>
      </c>
      <c r="M30" s="36">
        <f t="shared" si="5"/>
        <v>689689000.00000095</v>
      </c>
      <c r="N30" s="24">
        <v>5618749657.8090668</v>
      </c>
      <c r="O30" s="24">
        <f t="shared" si="6"/>
        <v>84281244867.136002</v>
      </c>
      <c r="P30" s="23">
        <f t="shared" si="0"/>
        <v>8.1831847771974848E-3</v>
      </c>
      <c r="Q30" s="23">
        <f t="shared" si="7"/>
        <v>2.7277282590658278E-3</v>
      </c>
      <c r="R30" s="23">
        <f t="shared" si="8"/>
        <v>2.4549554331592453E-2</v>
      </c>
    </row>
    <row r="31" spans="1:18" ht="15" customHeight="1" x14ac:dyDescent="0.25">
      <c r="A31" s="19" t="s">
        <v>82</v>
      </c>
      <c r="B31" s="19" t="s">
        <v>83</v>
      </c>
      <c r="C31" s="19" t="s">
        <v>18</v>
      </c>
      <c r="D31" s="19" t="s">
        <v>19</v>
      </c>
      <c r="E31" s="19">
        <v>19456</v>
      </c>
      <c r="F31" s="21">
        <v>98.571134868421098</v>
      </c>
      <c r="G31" s="19">
        <f t="shared" si="1"/>
        <v>277.9999999999917</v>
      </c>
      <c r="H31" s="37">
        <f t="shared" si="2"/>
        <v>277.9999999999917</v>
      </c>
      <c r="I31" s="24">
        <v>1100000</v>
      </c>
      <c r="J31" s="24">
        <v>33000</v>
      </c>
      <c r="K31" s="24">
        <f t="shared" si="3"/>
        <v>61875</v>
      </c>
      <c r="L31" s="24">
        <f t="shared" si="4"/>
        <v>323001249.99999034</v>
      </c>
      <c r="M31" s="36">
        <f t="shared" si="5"/>
        <v>323001249.99999034</v>
      </c>
      <c r="N31" s="24">
        <v>1236205124.2998753</v>
      </c>
      <c r="O31" s="24">
        <f t="shared" si="6"/>
        <v>18543076864.498131</v>
      </c>
      <c r="P31" s="23">
        <f t="shared" si="0"/>
        <v>1.741896732458658E-2</v>
      </c>
      <c r="Q31" s="23">
        <f t="shared" si="7"/>
        <v>5.8063224415288604E-3</v>
      </c>
      <c r="R31" s="23">
        <f t="shared" si="8"/>
        <v>5.2256901973759748E-2</v>
      </c>
    </row>
    <row r="32" spans="1:18" ht="15" customHeight="1" x14ac:dyDescent="0.25">
      <c r="A32" s="19" t="s">
        <v>84</v>
      </c>
      <c r="B32" s="19" t="s">
        <v>85</v>
      </c>
      <c r="C32" s="19" t="s">
        <v>14</v>
      </c>
      <c r="D32" s="19" t="s">
        <v>32</v>
      </c>
      <c r="E32" s="19">
        <v>15271.6</v>
      </c>
      <c r="F32" s="19" t="s">
        <v>232</v>
      </c>
      <c r="G32" s="19" t="e">
        <f t="shared" si="1"/>
        <v>#VALUE!</v>
      </c>
      <c r="H32" s="37">
        <f t="shared" si="2"/>
        <v>0</v>
      </c>
      <c r="I32" s="24">
        <v>1200000</v>
      </c>
      <c r="J32" s="24">
        <v>35000</v>
      </c>
      <c r="K32" s="24">
        <f t="shared" si="3"/>
        <v>65625</v>
      </c>
      <c r="L32" s="24" t="e">
        <f t="shared" si="4"/>
        <v>#VALUE!</v>
      </c>
      <c r="M32" s="36">
        <f t="shared" si="5"/>
        <v>0</v>
      </c>
      <c r="N32" s="24">
        <v>1409883719.9157445</v>
      </c>
      <c r="O32" s="24">
        <f t="shared" si="6"/>
        <v>21148255798.736168</v>
      </c>
      <c r="P32" s="23" t="e">
        <f t="shared" si="0"/>
        <v>#VALUE!</v>
      </c>
      <c r="Q32" s="23" t="e">
        <f t="shared" si="7"/>
        <v>#VALUE!</v>
      </c>
      <c r="R32" s="23" t="e">
        <f t="shared" si="8"/>
        <v>#VALUE!</v>
      </c>
    </row>
    <row r="33" spans="1:18" ht="15" customHeight="1" x14ac:dyDescent="0.25">
      <c r="A33" s="19" t="s">
        <v>86</v>
      </c>
      <c r="B33" s="19" t="s">
        <v>87</v>
      </c>
      <c r="C33" s="19" t="s">
        <v>14</v>
      </c>
      <c r="D33" s="19" t="s">
        <v>32</v>
      </c>
      <c r="E33" s="19" t="s">
        <v>232</v>
      </c>
      <c r="F33" s="19" t="s">
        <v>232</v>
      </c>
      <c r="G33" s="19" t="e">
        <f t="shared" si="1"/>
        <v>#VALUE!</v>
      </c>
      <c r="H33" s="37">
        <f t="shared" si="2"/>
        <v>0</v>
      </c>
      <c r="I33" s="24">
        <v>1200000</v>
      </c>
      <c r="J33" s="24">
        <v>35000</v>
      </c>
      <c r="K33" s="24">
        <f t="shared" si="3"/>
        <v>65625</v>
      </c>
      <c r="L33" s="24" t="e">
        <f t="shared" si="4"/>
        <v>#VALUE!</v>
      </c>
      <c r="M33" s="36">
        <f t="shared" si="5"/>
        <v>0</v>
      </c>
      <c r="N33" s="24">
        <v>551752484.64932442</v>
      </c>
      <c r="O33" s="24">
        <f t="shared" si="6"/>
        <v>8276287269.7398663</v>
      </c>
      <c r="P33" s="23" t="e">
        <f t="shared" si="0"/>
        <v>#VALUE!</v>
      </c>
      <c r="Q33" s="23" t="e">
        <f t="shared" si="7"/>
        <v>#VALUE!</v>
      </c>
      <c r="R33" s="23" t="e">
        <f t="shared" si="8"/>
        <v>#VALUE!</v>
      </c>
    </row>
    <row r="34" spans="1:18" ht="15" customHeight="1" x14ac:dyDescent="0.25">
      <c r="A34" s="19" t="s">
        <v>88</v>
      </c>
      <c r="B34" s="19" t="s">
        <v>89</v>
      </c>
      <c r="C34" s="19" t="s">
        <v>40</v>
      </c>
      <c r="D34" s="19" t="s">
        <v>32</v>
      </c>
      <c r="E34" s="19" t="s">
        <v>232</v>
      </c>
      <c r="F34" s="19" t="s">
        <v>232</v>
      </c>
      <c r="G34" s="19" t="e">
        <f t="shared" si="1"/>
        <v>#VALUE!</v>
      </c>
      <c r="H34" s="37">
        <f t="shared" si="2"/>
        <v>0</v>
      </c>
      <c r="I34" s="24">
        <v>1200000</v>
      </c>
      <c r="J34" s="24">
        <v>35000</v>
      </c>
      <c r="K34" s="24">
        <f t="shared" si="3"/>
        <v>65625</v>
      </c>
      <c r="L34" s="24" t="e">
        <f t="shared" si="4"/>
        <v>#VALUE!</v>
      </c>
      <c r="M34" s="36">
        <f t="shared" si="5"/>
        <v>0</v>
      </c>
      <c r="N34" s="24">
        <v>9544520.9551698435</v>
      </c>
      <c r="O34" s="24">
        <f t="shared" si="6"/>
        <v>143167814.32754764</v>
      </c>
      <c r="P34" s="23" t="e">
        <f t="shared" si="0"/>
        <v>#VALUE!</v>
      </c>
      <c r="Q34" s="23" t="e">
        <f t="shared" si="7"/>
        <v>#VALUE!</v>
      </c>
      <c r="R34" s="23" t="e">
        <f t="shared" si="8"/>
        <v>#VALUE!</v>
      </c>
    </row>
    <row r="35" spans="1:18" ht="15" customHeight="1" x14ac:dyDescent="0.25">
      <c r="A35" s="19" t="s">
        <v>90</v>
      </c>
      <c r="B35" s="19" t="s">
        <v>91</v>
      </c>
      <c r="C35" s="19" t="s">
        <v>14</v>
      </c>
      <c r="D35" s="19" t="s">
        <v>26</v>
      </c>
      <c r="E35" s="19" t="s">
        <v>232</v>
      </c>
      <c r="F35" s="19" t="s">
        <v>232</v>
      </c>
      <c r="G35" s="19" t="e">
        <f t="shared" si="1"/>
        <v>#VALUE!</v>
      </c>
      <c r="H35" s="37">
        <f t="shared" si="2"/>
        <v>0</v>
      </c>
      <c r="I35" s="24">
        <v>1100000</v>
      </c>
      <c r="J35" s="24">
        <v>33000</v>
      </c>
      <c r="K35" s="24">
        <f t="shared" si="3"/>
        <v>61875</v>
      </c>
      <c r="L35" s="24" t="e">
        <f t="shared" si="4"/>
        <v>#VALUE!</v>
      </c>
      <c r="M35" s="36">
        <f t="shared" si="5"/>
        <v>0</v>
      </c>
      <c r="N35" s="24">
        <v>433167180.30280077</v>
      </c>
      <c r="O35" s="24">
        <f t="shared" si="6"/>
        <v>6497507704.5420113</v>
      </c>
      <c r="P35" s="23" t="e">
        <f t="shared" si="0"/>
        <v>#VALUE!</v>
      </c>
      <c r="Q35" s="23" t="e">
        <f t="shared" si="7"/>
        <v>#VALUE!</v>
      </c>
      <c r="R35" s="23" t="e">
        <f t="shared" si="8"/>
        <v>#VALUE!</v>
      </c>
    </row>
    <row r="36" spans="1:18" ht="15" customHeight="1" x14ac:dyDescent="0.25">
      <c r="A36" s="19" t="s">
        <v>92</v>
      </c>
      <c r="B36" s="19" t="s">
        <v>93</v>
      </c>
      <c r="C36" s="19" t="s">
        <v>40</v>
      </c>
      <c r="D36" s="19" t="s">
        <v>32</v>
      </c>
      <c r="E36" s="19">
        <v>49751</v>
      </c>
      <c r="F36" s="21">
        <v>10.072159353580799</v>
      </c>
      <c r="G36" s="19">
        <f t="shared" si="1"/>
        <v>44740.000000000015</v>
      </c>
      <c r="H36" s="37">
        <f t="shared" si="2"/>
        <v>44740.000000000015</v>
      </c>
      <c r="I36" s="24">
        <v>1200000</v>
      </c>
      <c r="J36" s="24">
        <v>35000</v>
      </c>
      <c r="K36" s="24">
        <f t="shared" si="3"/>
        <v>65625</v>
      </c>
      <c r="L36" s="24">
        <f t="shared" si="4"/>
        <v>56624062500.000015</v>
      </c>
      <c r="M36" s="36">
        <f t="shared" si="5"/>
        <v>56624062500.000015</v>
      </c>
      <c r="N36" s="24">
        <v>2416929494.6420951</v>
      </c>
      <c r="O36" s="24">
        <f t="shared" si="6"/>
        <v>36253942419.631424</v>
      </c>
      <c r="P36" s="23">
        <f t="shared" si="0"/>
        <v>1.5618732397318043</v>
      </c>
      <c r="Q36" s="23">
        <f t="shared" si="7"/>
        <v>0.52062441324393471</v>
      </c>
      <c r="R36" s="23">
        <f t="shared" si="8"/>
        <v>4.6856197191954125</v>
      </c>
    </row>
    <row r="37" spans="1:18" ht="15" customHeight="1" x14ac:dyDescent="0.25">
      <c r="A37" s="19" t="s">
        <v>94</v>
      </c>
      <c r="B37" s="19" t="s">
        <v>95</v>
      </c>
      <c r="C37" s="19" t="s">
        <v>45</v>
      </c>
      <c r="D37" s="19" t="s">
        <v>69</v>
      </c>
      <c r="E37" s="19" t="s">
        <v>232</v>
      </c>
      <c r="F37" s="19" t="s">
        <v>232</v>
      </c>
      <c r="G37" s="19" t="e">
        <f t="shared" si="1"/>
        <v>#VALUE!</v>
      </c>
      <c r="H37" s="37">
        <f t="shared" si="2"/>
        <v>0</v>
      </c>
      <c r="I37" s="24" t="s">
        <v>232</v>
      </c>
      <c r="J37" s="24" t="s">
        <v>232</v>
      </c>
      <c r="K37" s="24" t="e">
        <f t="shared" si="3"/>
        <v>#VALUE!</v>
      </c>
      <c r="L37" s="24" t="e">
        <f t="shared" si="4"/>
        <v>#VALUE!</v>
      </c>
      <c r="M37" s="36">
        <f t="shared" si="5"/>
        <v>0</v>
      </c>
      <c r="N37" s="24">
        <v>66550602359.385544</v>
      </c>
      <c r="O37" s="24">
        <f t="shared" si="6"/>
        <v>998259035390.7832</v>
      </c>
      <c r="P37" s="23" t="e">
        <f t="shared" si="0"/>
        <v>#VALUE!</v>
      </c>
      <c r="Q37" s="23" t="e">
        <f t="shared" si="7"/>
        <v>#VALUE!</v>
      </c>
      <c r="R37" s="23" t="e">
        <f t="shared" si="8"/>
        <v>#VALUE!</v>
      </c>
    </row>
    <row r="38" spans="1:18" ht="15" customHeight="1" x14ac:dyDescent="0.25">
      <c r="A38" s="19" t="s">
        <v>96</v>
      </c>
      <c r="B38" s="19" t="s">
        <v>97</v>
      </c>
      <c r="C38" s="19" t="s">
        <v>29</v>
      </c>
      <c r="D38" s="19" t="s">
        <v>35</v>
      </c>
      <c r="E38" s="19" t="s">
        <v>232</v>
      </c>
      <c r="F38" s="19" t="s">
        <v>232</v>
      </c>
      <c r="G38" s="19" t="e">
        <f t="shared" si="1"/>
        <v>#VALUE!</v>
      </c>
      <c r="H38" s="37">
        <f t="shared" si="2"/>
        <v>0</v>
      </c>
      <c r="I38" s="24">
        <v>1100000</v>
      </c>
      <c r="J38" s="24">
        <v>35000</v>
      </c>
      <c r="K38" s="24">
        <f t="shared" si="3"/>
        <v>65625</v>
      </c>
      <c r="L38" s="24" t="e">
        <f t="shared" si="4"/>
        <v>#VALUE!</v>
      </c>
      <c r="M38" s="36">
        <f t="shared" si="5"/>
        <v>0</v>
      </c>
      <c r="N38" s="24" t="s">
        <v>232</v>
      </c>
      <c r="O38" s="24" t="e">
        <f t="shared" si="6"/>
        <v>#VALUE!</v>
      </c>
      <c r="P38" s="23" t="e">
        <f t="shared" si="0"/>
        <v>#VALUE!</v>
      </c>
      <c r="Q38" s="23" t="e">
        <f t="shared" si="7"/>
        <v>#VALUE!</v>
      </c>
      <c r="R38" s="23" t="e">
        <f t="shared" si="8"/>
        <v>#VALUE!</v>
      </c>
    </row>
    <row r="39" spans="1:18" ht="15" customHeight="1" x14ac:dyDescent="0.25">
      <c r="A39" s="19" t="s">
        <v>98</v>
      </c>
      <c r="B39" s="19" t="s">
        <v>99</v>
      </c>
      <c r="C39" s="19" t="s">
        <v>14</v>
      </c>
      <c r="D39" s="19" t="s">
        <v>32</v>
      </c>
      <c r="E39" s="19">
        <v>20278</v>
      </c>
      <c r="F39" s="21">
        <v>6.8349935891113498</v>
      </c>
      <c r="G39" s="19">
        <f t="shared" si="1"/>
        <v>18892</v>
      </c>
      <c r="H39" s="37">
        <f t="shared" si="2"/>
        <v>18892</v>
      </c>
      <c r="I39" s="24">
        <v>1200000</v>
      </c>
      <c r="J39" s="24">
        <v>35000</v>
      </c>
      <c r="K39" s="24">
        <f t="shared" si="3"/>
        <v>65625</v>
      </c>
      <c r="L39" s="24">
        <f t="shared" si="4"/>
        <v>23910187500</v>
      </c>
      <c r="M39" s="36">
        <f t="shared" si="5"/>
        <v>23910187500</v>
      </c>
      <c r="N39" s="24">
        <v>165997754.82625589</v>
      </c>
      <c r="O39" s="24">
        <f t="shared" si="6"/>
        <v>2489966322.3938384</v>
      </c>
      <c r="P39" s="23">
        <f t="shared" si="0"/>
        <v>9.6026148164979563</v>
      </c>
      <c r="Q39" s="23">
        <f t="shared" si="7"/>
        <v>3.2008716054993189</v>
      </c>
      <c r="R39" s="23">
        <f t="shared" si="8"/>
        <v>28.807844449493871</v>
      </c>
    </row>
    <row r="40" spans="1:18" ht="15" customHeight="1" x14ac:dyDescent="0.25">
      <c r="A40" s="19" t="s">
        <v>100</v>
      </c>
      <c r="B40" s="19" t="s">
        <v>101</v>
      </c>
      <c r="C40" s="19" t="s">
        <v>14</v>
      </c>
      <c r="D40" s="19" t="s">
        <v>32</v>
      </c>
      <c r="E40" s="19" t="s">
        <v>232</v>
      </c>
      <c r="F40" s="19" t="s">
        <v>232</v>
      </c>
      <c r="G40" s="19" t="e">
        <f t="shared" si="1"/>
        <v>#VALUE!</v>
      </c>
      <c r="H40" s="37">
        <f t="shared" si="2"/>
        <v>0</v>
      </c>
      <c r="I40" s="24">
        <v>1200000</v>
      </c>
      <c r="J40" s="24">
        <v>35000</v>
      </c>
      <c r="K40" s="24">
        <f t="shared" si="3"/>
        <v>65625</v>
      </c>
      <c r="L40" s="24" t="e">
        <f t="shared" si="4"/>
        <v>#VALUE!</v>
      </c>
      <c r="M40" s="36">
        <f t="shared" si="5"/>
        <v>0</v>
      </c>
      <c r="N40" s="24">
        <v>3554600897.019742</v>
      </c>
      <c r="O40" s="24">
        <f t="shared" si="6"/>
        <v>53319013455.296127</v>
      </c>
      <c r="P40" s="23" t="e">
        <f t="shared" si="0"/>
        <v>#VALUE!</v>
      </c>
      <c r="Q40" s="23" t="e">
        <f t="shared" si="7"/>
        <v>#VALUE!</v>
      </c>
      <c r="R40" s="23" t="e">
        <f t="shared" si="8"/>
        <v>#VALUE!</v>
      </c>
    </row>
    <row r="41" spans="1:18" ht="15" customHeight="1" x14ac:dyDescent="0.25">
      <c r="A41" s="19" t="s">
        <v>102</v>
      </c>
      <c r="B41" s="19" t="s">
        <v>103</v>
      </c>
      <c r="C41" s="19" t="s">
        <v>29</v>
      </c>
      <c r="D41" s="19" t="s">
        <v>19</v>
      </c>
      <c r="E41" s="19" t="s">
        <v>232</v>
      </c>
      <c r="F41" s="19" t="s">
        <v>232</v>
      </c>
      <c r="G41" s="19" t="e">
        <f t="shared" si="1"/>
        <v>#VALUE!</v>
      </c>
      <c r="H41" s="37">
        <f t="shared" si="2"/>
        <v>0</v>
      </c>
      <c r="I41" s="24" t="s">
        <v>232</v>
      </c>
      <c r="J41" s="24" t="s">
        <v>232</v>
      </c>
      <c r="K41" s="24" t="e">
        <f t="shared" si="3"/>
        <v>#VALUE!</v>
      </c>
      <c r="L41" s="24" t="e">
        <f t="shared" si="4"/>
        <v>#VALUE!</v>
      </c>
      <c r="M41" s="36">
        <f t="shared" si="5"/>
        <v>0</v>
      </c>
      <c r="N41" s="24" t="s">
        <v>232</v>
      </c>
      <c r="O41" s="24" t="e">
        <f t="shared" si="6"/>
        <v>#VALUE!</v>
      </c>
      <c r="P41" s="23" t="e">
        <f t="shared" si="0"/>
        <v>#VALUE!</v>
      </c>
      <c r="Q41" s="23" t="e">
        <f t="shared" si="7"/>
        <v>#VALUE!</v>
      </c>
      <c r="R41" s="23" t="e">
        <f t="shared" si="8"/>
        <v>#VALUE!</v>
      </c>
    </row>
    <row r="42" spans="1:18" ht="15" customHeight="1" x14ac:dyDescent="0.25">
      <c r="A42" s="19" t="s">
        <v>104</v>
      </c>
      <c r="B42" s="19" t="s">
        <v>105</v>
      </c>
      <c r="C42" s="19" t="s">
        <v>45</v>
      </c>
      <c r="D42" s="19" t="s">
        <v>35</v>
      </c>
      <c r="E42" s="19">
        <v>77763.740000000005</v>
      </c>
      <c r="F42" s="21">
        <v>23.3</v>
      </c>
      <c r="G42" s="19">
        <f t="shared" si="1"/>
        <v>59644.788580000008</v>
      </c>
      <c r="H42" s="37">
        <f t="shared" si="2"/>
        <v>59644.788580000008</v>
      </c>
      <c r="I42" s="24">
        <v>1100000</v>
      </c>
      <c r="J42" s="24">
        <v>35000</v>
      </c>
      <c r="K42" s="24">
        <f t="shared" si="3"/>
        <v>65625</v>
      </c>
      <c r="L42" s="24">
        <f t="shared" si="4"/>
        <v>69523456688.562515</v>
      </c>
      <c r="M42" s="36">
        <f t="shared" si="5"/>
        <v>69523456688.562515</v>
      </c>
      <c r="N42" s="24">
        <v>42609019124.162964</v>
      </c>
      <c r="O42" s="24">
        <f t="shared" si="6"/>
        <v>639135286862.44446</v>
      </c>
      <c r="P42" s="23">
        <f t="shared" si="0"/>
        <v>0.10877737173589266</v>
      </c>
      <c r="Q42" s="23">
        <f t="shared" si="7"/>
        <v>3.6259123911964217E-2</v>
      </c>
      <c r="R42" s="23">
        <f t="shared" si="8"/>
        <v>0.32633211520767802</v>
      </c>
    </row>
    <row r="43" spans="1:18" ht="15" customHeight="1" x14ac:dyDescent="0.25">
      <c r="A43" s="19" t="s">
        <v>106</v>
      </c>
      <c r="B43" s="19" t="s">
        <v>107</v>
      </c>
      <c r="C43" s="19" t="s">
        <v>18</v>
      </c>
      <c r="D43" s="19" t="s">
        <v>26</v>
      </c>
      <c r="E43" s="19">
        <v>4008229</v>
      </c>
      <c r="F43" s="21">
        <v>60.930026702566103</v>
      </c>
      <c r="G43" s="19">
        <f t="shared" si="1"/>
        <v>1566014.0000000019</v>
      </c>
      <c r="H43" s="37">
        <f t="shared" si="2"/>
        <v>1566014.0000000019</v>
      </c>
      <c r="I43" s="24">
        <v>1200000</v>
      </c>
      <c r="J43" s="24">
        <v>35000</v>
      </c>
      <c r="K43" s="24">
        <f t="shared" si="3"/>
        <v>65625</v>
      </c>
      <c r="L43" s="24">
        <f t="shared" si="4"/>
        <v>1981986468750.0024</v>
      </c>
      <c r="M43" s="36">
        <f t="shared" si="5"/>
        <v>1981986468750.0024</v>
      </c>
      <c r="N43" s="24">
        <v>412412144329.84637</v>
      </c>
      <c r="O43" s="24">
        <f t="shared" si="6"/>
        <v>6186182164947.6953</v>
      </c>
      <c r="P43" s="23">
        <f t="shared" si="0"/>
        <v>0.32038928306708864</v>
      </c>
      <c r="Q43" s="23">
        <f t="shared" si="7"/>
        <v>0.10679642768902955</v>
      </c>
      <c r="R43" s="23">
        <f t="shared" si="8"/>
        <v>0.96116784920126608</v>
      </c>
    </row>
    <row r="44" spans="1:18" ht="15" customHeight="1" x14ac:dyDescent="0.25">
      <c r="A44" s="19" t="s">
        <v>108</v>
      </c>
      <c r="B44" s="19" t="s">
        <v>109</v>
      </c>
      <c r="C44" s="19" t="s">
        <v>18</v>
      </c>
      <c r="D44" s="19" t="s">
        <v>35</v>
      </c>
      <c r="E44" s="19">
        <v>203627</v>
      </c>
      <c r="F44" s="19" t="s">
        <v>232</v>
      </c>
      <c r="G44" s="19" t="e">
        <f t="shared" si="1"/>
        <v>#VALUE!</v>
      </c>
      <c r="H44" s="37">
        <f t="shared" si="2"/>
        <v>0</v>
      </c>
      <c r="I44" s="24">
        <v>1100000</v>
      </c>
      <c r="J44" s="24">
        <v>35000</v>
      </c>
      <c r="K44" s="24">
        <f t="shared" si="3"/>
        <v>65625</v>
      </c>
      <c r="L44" s="24" t="e">
        <f t="shared" si="4"/>
        <v>#VALUE!</v>
      </c>
      <c r="M44" s="36">
        <f t="shared" si="5"/>
        <v>0</v>
      </c>
      <c r="N44" s="24">
        <v>27613795592.874363</v>
      </c>
      <c r="O44" s="24">
        <f t="shared" si="6"/>
        <v>414206933893.11542</v>
      </c>
      <c r="P44" s="23" t="e">
        <f t="shared" si="0"/>
        <v>#VALUE!</v>
      </c>
      <c r="Q44" s="23" t="e">
        <f t="shared" si="7"/>
        <v>#VALUE!</v>
      </c>
      <c r="R44" s="23" t="e">
        <f t="shared" si="8"/>
        <v>#VALUE!</v>
      </c>
    </row>
    <row r="45" spans="1:18" ht="15" customHeight="1" x14ac:dyDescent="0.25">
      <c r="A45" s="19" t="s">
        <v>110</v>
      </c>
      <c r="B45" s="19" t="s">
        <v>111</v>
      </c>
      <c r="C45" s="19" t="s">
        <v>14</v>
      </c>
      <c r="D45" s="19" t="s">
        <v>32</v>
      </c>
      <c r="E45" s="19" t="s">
        <v>232</v>
      </c>
      <c r="F45" s="19" t="s">
        <v>232</v>
      </c>
      <c r="G45" s="19" t="e">
        <f t="shared" si="1"/>
        <v>#VALUE!</v>
      </c>
      <c r="H45" s="37">
        <f t="shared" si="2"/>
        <v>0</v>
      </c>
      <c r="I45" s="24">
        <v>1200000</v>
      </c>
      <c r="J45" s="24">
        <v>35000</v>
      </c>
      <c r="K45" s="24">
        <f t="shared" si="3"/>
        <v>65625</v>
      </c>
      <c r="L45" s="24" t="e">
        <f t="shared" si="4"/>
        <v>#VALUE!</v>
      </c>
      <c r="M45" s="36">
        <f t="shared" si="5"/>
        <v>0</v>
      </c>
      <c r="N45" s="24">
        <v>15685686.317566991</v>
      </c>
      <c r="O45" s="24">
        <f t="shared" si="6"/>
        <v>235285294.76350486</v>
      </c>
      <c r="P45" s="23" t="e">
        <f t="shared" si="0"/>
        <v>#VALUE!</v>
      </c>
      <c r="Q45" s="23" t="e">
        <f t="shared" si="7"/>
        <v>#VALUE!</v>
      </c>
      <c r="R45" s="23" t="e">
        <f t="shared" si="8"/>
        <v>#VALUE!</v>
      </c>
    </row>
    <row r="46" spans="1:18" ht="15" customHeight="1" x14ac:dyDescent="0.25">
      <c r="A46" s="19" t="s">
        <v>112</v>
      </c>
      <c r="B46" s="19" t="s">
        <v>113</v>
      </c>
      <c r="C46" s="19" t="s">
        <v>14</v>
      </c>
      <c r="D46" s="19" t="s">
        <v>32</v>
      </c>
      <c r="E46" s="19" t="s">
        <v>232</v>
      </c>
      <c r="F46" s="19" t="s">
        <v>232</v>
      </c>
      <c r="G46" s="19" t="e">
        <f t="shared" si="1"/>
        <v>#VALUE!</v>
      </c>
      <c r="H46" s="37">
        <f t="shared" si="2"/>
        <v>0</v>
      </c>
      <c r="I46" s="24">
        <v>1200000</v>
      </c>
      <c r="J46" s="24">
        <v>35000</v>
      </c>
      <c r="K46" s="24">
        <f t="shared" si="3"/>
        <v>65625</v>
      </c>
      <c r="L46" s="24" t="e">
        <f t="shared" si="4"/>
        <v>#VALUE!</v>
      </c>
      <c r="M46" s="36">
        <f t="shared" si="5"/>
        <v>0</v>
      </c>
      <c r="N46" s="24">
        <v>7681552331.5239582</v>
      </c>
      <c r="O46" s="24">
        <f t="shared" si="6"/>
        <v>115223284972.85937</v>
      </c>
      <c r="P46" s="23" t="e">
        <f t="shared" si="0"/>
        <v>#VALUE!</v>
      </c>
      <c r="Q46" s="23" t="e">
        <f t="shared" si="7"/>
        <v>#VALUE!</v>
      </c>
      <c r="R46" s="23" t="e">
        <f t="shared" si="8"/>
        <v>#VALUE!</v>
      </c>
    </row>
    <row r="47" spans="1:18" ht="15" customHeight="1" x14ac:dyDescent="0.25">
      <c r="A47" s="19" t="s">
        <v>114</v>
      </c>
      <c r="B47" s="19" t="s">
        <v>115</v>
      </c>
      <c r="C47" s="19" t="s">
        <v>40</v>
      </c>
      <c r="D47" s="19" t="s">
        <v>32</v>
      </c>
      <c r="E47" s="19" t="s">
        <v>232</v>
      </c>
      <c r="F47" s="19" t="s">
        <v>232</v>
      </c>
      <c r="G47" s="19" t="e">
        <f t="shared" si="1"/>
        <v>#VALUE!</v>
      </c>
      <c r="H47" s="37">
        <f t="shared" si="2"/>
        <v>0</v>
      </c>
      <c r="I47" s="24">
        <v>1200000</v>
      </c>
      <c r="J47" s="24">
        <v>35000</v>
      </c>
      <c r="K47" s="24">
        <f t="shared" si="3"/>
        <v>65625</v>
      </c>
      <c r="L47" s="24" t="e">
        <f t="shared" si="4"/>
        <v>#VALUE!</v>
      </c>
      <c r="M47" s="36">
        <f t="shared" si="5"/>
        <v>0</v>
      </c>
      <c r="N47" s="24">
        <v>7999753757.4398327</v>
      </c>
      <c r="O47" s="24">
        <f t="shared" si="6"/>
        <v>119996306361.59749</v>
      </c>
      <c r="P47" s="23" t="e">
        <f t="shared" si="0"/>
        <v>#VALUE!</v>
      </c>
      <c r="Q47" s="23" t="e">
        <f t="shared" si="7"/>
        <v>#VALUE!</v>
      </c>
      <c r="R47" s="23" t="e">
        <f t="shared" si="8"/>
        <v>#VALUE!</v>
      </c>
    </row>
    <row r="48" spans="1:18" ht="15" customHeight="1" x14ac:dyDescent="0.25">
      <c r="A48" s="19" t="s">
        <v>116</v>
      </c>
      <c r="B48" s="19" t="s">
        <v>117</v>
      </c>
      <c r="C48" s="19" t="s">
        <v>18</v>
      </c>
      <c r="D48" s="19" t="s">
        <v>35</v>
      </c>
      <c r="E48" s="19">
        <v>39937</v>
      </c>
      <c r="F48" s="21">
        <v>25.284823597165499</v>
      </c>
      <c r="G48" s="19">
        <f t="shared" si="1"/>
        <v>29839.000000000011</v>
      </c>
      <c r="H48" s="37">
        <f t="shared" si="2"/>
        <v>29839.000000000011</v>
      </c>
      <c r="I48" s="24">
        <v>1100000</v>
      </c>
      <c r="J48" s="24">
        <v>35000</v>
      </c>
      <c r="K48" s="24">
        <f t="shared" si="3"/>
        <v>65625</v>
      </c>
      <c r="L48" s="24">
        <f t="shared" si="4"/>
        <v>34781084375.000015</v>
      </c>
      <c r="M48" s="36">
        <f t="shared" si="5"/>
        <v>34781084375.000015</v>
      </c>
      <c r="N48" s="24">
        <v>447691904.68022686</v>
      </c>
      <c r="O48" s="24">
        <f t="shared" si="6"/>
        <v>6715378570.2034025</v>
      </c>
      <c r="P48" s="23">
        <f t="shared" si="0"/>
        <v>5.1793184868722193</v>
      </c>
      <c r="Q48" s="23">
        <f t="shared" si="7"/>
        <v>1.7264394956240732</v>
      </c>
      <c r="R48" s="23">
        <f t="shared" si="8"/>
        <v>15.537955460616658</v>
      </c>
    </row>
    <row r="49" spans="1:18" ht="15" customHeight="1" x14ac:dyDescent="0.25">
      <c r="A49" s="19" t="s">
        <v>118</v>
      </c>
      <c r="B49" s="19" t="s">
        <v>119</v>
      </c>
      <c r="C49" s="19" t="s">
        <v>40</v>
      </c>
      <c r="D49" s="19" t="s">
        <v>32</v>
      </c>
      <c r="E49" s="19" t="s">
        <v>232</v>
      </c>
      <c r="F49" s="19" t="s">
        <v>232</v>
      </c>
      <c r="G49" s="19" t="e">
        <f t="shared" si="1"/>
        <v>#VALUE!</v>
      </c>
      <c r="H49" s="37">
        <f t="shared" si="2"/>
        <v>0</v>
      </c>
      <c r="I49" s="24">
        <v>1200000</v>
      </c>
      <c r="J49" s="24">
        <v>35000</v>
      </c>
      <c r="K49" s="24">
        <f t="shared" si="3"/>
        <v>65625</v>
      </c>
      <c r="L49" s="24" t="e">
        <f t="shared" si="4"/>
        <v>#VALUE!</v>
      </c>
      <c r="M49" s="36">
        <f t="shared" si="5"/>
        <v>0</v>
      </c>
      <c r="N49" s="24">
        <v>1791544935.1129889</v>
      </c>
      <c r="O49" s="24">
        <f t="shared" si="6"/>
        <v>26873174026.694836</v>
      </c>
      <c r="P49" s="23" t="e">
        <f t="shared" si="0"/>
        <v>#VALUE!</v>
      </c>
      <c r="Q49" s="23" t="e">
        <f t="shared" si="7"/>
        <v>#VALUE!</v>
      </c>
      <c r="R49" s="23" t="e">
        <f t="shared" si="8"/>
        <v>#VALUE!</v>
      </c>
    </row>
    <row r="50" spans="1:18" ht="15" customHeight="1" x14ac:dyDescent="0.25">
      <c r="A50" s="19" t="s">
        <v>120</v>
      </c>
      <c r="B50" s="19" t="s">
        <v>121</v>
      </c>
      <c r="C50" s="19" t="s">
        <v>29</v>
      </c>
      <c r="D50" s="19" t="s">
        <v>19</v>
      </c>
      <c r="E50" s="19">
        <v>29333</v>
      </c>
      <c r="F50" s="21">
        <v>90.720349094876099</v>
      </c>
      <c r="G50" s="19">
        <f t="shared" si="1"/>
        <v>2721.9999999999945</v>
      </c>
      <c r="H50" s="37">
        <f t="shared" si="2"/>
        <v>2721.9999999999945</v>
      </c>
      <c r="I50" s="24">
        <v>1100000</v>
      </c>
      <c r="J50" s="24">
        <v>33000</v>
      </c>
      <c r="K50" s="24">
        <f t="shared" si="3"/>
        <v>61875</v>
      </c>
      <c r="L50" s="24">
        <f t="shared" si="4"/>
        <v>3162623749.9999938</v>
      </c>
      <c r="M50" s="36">
        <f t="shared" si="5"/>
        <v>3162623749.9999938</v>
      </c>
      <c r="N50" s="24">
        <v>918544973.75403845</v>
      </c>
      <c r="O50" s="24">
        <f t="shared" si="6"/>
        <v>13778174606.310577</v>
      </c>
      <c r="P50" s="23">
        <f t="shared" si="0"/>
        <v>0.22953866098862416</v>
      </c>
      <c r="Q50" s="23">
        <f t="shared" si="7"/>
        <v>7.6512886996208049E-2</v>
      </c>
      <c r="R50" s="23">
        <f t="shared" si="8"/>
        <v>0.68861598296587245</v>
      </c>
    </row>
    <row r="51" spans="1:18" ht="15" customHeight="1" x14ac:dyDescent="0.25">
      <c r="A51" s="19" t="s">
        <v>122</v>
      </c>
      <c r="B51" s="19" t="s">
        <v>123</v>
      </c>
      <c r="C51" s="19" t="s">
        <v>18</v>
      </c>
      <c r="D51" s="19" t="s">
        <v>35</v>
      </c>
      <c r="E51" s="19" t="s">
        <v>232</v>
      </c>
      <c r="F51" s="19" t="s">
        <v>232</v>
      </c>
      <c r="G51" s="19" t="e">
        <f t="shared" si="1"/>
        <v>#VALUE!</v>
      </c>
      <c r="H51" s="37">
        <f t="shared" si="2"/>
        <v>0</v>
      </c>
      <c r="I51" s="24">
        <v>1100000</v>
      </c>
      <c r="J51" s="24">
        <v>35000</v>
      </c>
      <c r="K51" s="24">
        <f t="shared" si="3"/>
        <v>65625</v>
      </c>
      <c r="L51" s="24" t="e">
        <f t="shared" si="4"/>
        <v>#VALUE!</v>
      </c>
      <c r="M51" s="36">
        <f t="shared" si="5"/>
        <v>0</v>
      </c>
      <c r="N51" s="24">
        <v>3082852547.1150317</v>
      </c>
      <c r="O51" s="24">
        <f t="shared" si="6"/>
        <v>46242788206.725479</v>
      </c>
      <c r="P51" s="23" t="e">
        <f t="shared" si="0"/>
        <v>#VALUE!</v>
      </c>
      <c r="Q51" s="23" t="e">
        <f t="shared" si="7"/>
        <v>#VALUE!</v>
      </c>
      <c r="R51" s="23" t="e">
        <f t="shared" si="8"/>
        <v>#VALUE!</v>
      </c>
    </row>
    <row r="52" spans="1:18" ht="15" customHeight="1" x14ac:dyDescent="0.25">
      <c r="A52" s="19" t="s">
        <v>124</v>
      </c>
      <c r="B52" s="19" t="s">
        <v>125</v>
      </c>
      <c r="C52" s="19" t="s">
        <v>29</v>
      </c>
      <c r="D52" s="19" t="s">
        <v>35</v>
      </c>
      <c r="E52" s="19" t="s">
        <v>232</v>
      </c>
      <c r="F52" s="19" t="s">
        <v>232</v>
      </c>
      <c r="G52" s="19" t="e">
        <f t="shared" si="1"/>
        <v>#VALUE!</v>
      </c>
      <c r="H52" s="37">
        <f t="shared" si="2"/>
        <v>0</v>
      </c>
      <c r="I52" s="24">
        <v>1100000</v>
      </c>
      <c r="J52" s="24">
        <v>35000</v>
      </c>
      <c r="K52" s="24">
        <f t="shared" si="3"/>
        <v>65625</v>
      </c>
      <c r="L52" s="24" t="e">
        <f t="shared" si="4"/>
        <v>#VALUE!</v>
      </c>
      <c r="M52" s="36">
        <f t="shared" si="5"/>
        <v>0</v>
      </c>
      <c r="N52" s="24" t="s">
        <v>232</v>
      </c>
      <c r="O52" s="24" t="e">
        <f t="shared" si="6"/>
        <v>#VALUE!</v>
      </c>
      <c r="P52" s="23" t="e">
        <f t="shared" si="0"/>
        <v>#VALUE!</v>
      </c>
      <c r="Q52" s="23" t="e">
        <f t="shared" si="7"/>
        <v>#VALUE!</v>
      </c>
      <c r="R52" s="23" t="e">
        <f t="shared" si="8"/>
        <v>#VALUE!</v>
      </c>
    </row>
    <row r="53" spans="1:18" ht="15" customHeight="1" x14ac:dyDescent="0.25">
      <c r="A53" s="19" t="s">
        <v>126</v>
      </c>
      <c r="B53" s="19" t="s">
        <v>127</v>
      </c>
      <c r="C53" s="19" t="s">
        <v>29</v>
      </c>
      <c r="D53" s="19" t="s">
        <v>19</v>
      </c>
      <c r="E53" s="19">
        <v>12483</v>
      </c>
      <c r="F53" s="21">
        <v>65.424977970039293</v>
      </c>
      <c r="G53" s="19">
        <f t="shared" si="1"/>
        <v>4315.9999999999955</v>
      </c>
      <c r="H53" s="37">
        <f t="shared" si="2"/>
        <v>4315.9999999999955</v>
      </c>
      <c r="I53" s="24">
        <v>1100000</v>
      </c>
      <c r="J53" s="24">
        <v>33000</v>
      </c>
      <c r="K53" s="24">
        <f t="shared" si="3"/>
        <v>61875</v>
      </c>
      <c r="L53" s="24">
        <f t="shared" si="4"/>
        <v>5014652499.9999943</v>
      </c>
      <c r="M53" s="36">
        <f t="shared" si="5"/>
        <v>5014652499.9999943</v>
      </c>
      <c r="N53" s="24">
        <v>2097439.0563930012</v>
      </c>
      <c r="O53" s="24">
        <f t="shared" si="6"/>
        <v>31461585.845895018</v>
      </c>
      <c r="P53" s="23">
        <f t="shared" si="0"/>
        <v>159.38969270534358</v>
      </c>
      <c r="Q53" s="23">
        <f t="shared" si="7"/>
        <v>53.129897568447866</v>
      </c>
      <c r="R53" s="23">
        <f t="shared" si="8"/>
        <v>478.16907811603079</v>
      </c>
    </row>
    <row r="54" spans="1:18" ht="15" customHeight="1" x14ac:dyDescent="0.25">
      <c r="A54" s="19" t="s">
        <v>128</v>
      </c>
      <c r="B54" s="19" t="s">
        <v>129</v>
      </c>
      <c r="C54" s="19" t="s">
        <v>45</v>
      </c>
      <c r="D54" s="19" t="s">
        <v>19</v>
      </c>
      <c r="E54" s="19">
        <v>130671</v>
      </c>
      <c r="F54" s="19" t="s">
        <v>232</v>
      </c>
      <c r="G54" s="19" t="e">
        <f t="shared" si="1"/>
        <v>#VALUE!</v>
      </c>
      <c r="H54" s="37">
        <f t="shared" si="2"/>
        <v>0</v>
      </c>
      <c r="I54" s="24" t="s">
        <v>232</v>
      </c>
      <c r="J54" s="24" t="s">
        <v>232</v>
      </c>
      <c r="K54" s="24" t="e">
        <f t="shared" si="3"/>
        <v>#VALUE!</v>
      </c>
      <c r="L54" s="24" t="e">
        <f t="shared" si="4"/>
        <v>#VALUE!</v>
      </c>
      <c r="M54" s="36">
        <f t="shared" si="5"/>
        <v>0</v>
      </c>
      <c r="N54" s="24">
        <v>1366868039.2637777</v>
      </c>
      <c r="O54" s="24">
        <f t="shared" si="6"/>
        <v>20503020588.956665</v>
      </c>
      <c r="P54" s="23" t="e">
        <f t="shared" si="0"/>
        <v>#VALUE!</v>
      </c>
      <c r="Q54" s="23" t="e">
        <f t="shared" si="7"/>
        <v>#VALUE!</v>
      </c>
      <c r="R54" s="23" t="e">
        <f t="shared" si="8"/>
        <v>#VALUE!</v>
      </c>
    </row>
    <row r="55" spans="1:18" ht="15" customHeight="1" x14ac:dyDescent="0.25">
      <c r="A55" s="19" t="s">
        <v>130</v>
      </c>
      <c r="B55" s="19" t="s">
        <v>131</v>
      </c>
      <c r="C55" s="19" t="s">
        <v>45</v>
      </c>
      <c r="D55" s="19" t="s">
        <v>19</v>
      </c>
      <c r="E55" s="19">
        <v>74054</v>
      </c>
      <c r="F55" s="21">
        <v>100</v>
      </c>
      <c r="G55" s="19">
        <f t="shared" si="1"/>
        <v>0</v>
      </c>
      <c r="H55" s="37">
        <f t="shared" si="2"/>
        <v>0</v>
      </c>
      <c r="I55" s="24" t="s">
        <v>232</v>
      </c>
      <c r="J55" s="24" t="s">
        <v>232</v>
      </c>
      <c r="K55" s="24" t="e">
        <f t="shared" si="3"/>
        <v>#VALUE!</v>
      </c>
      <c r="L55" s="24" t="e">
        <f t="shared" si="4"/>
        <v>#VALUE!</v>
      </c>
      <c r="M55" s="36">
        <f t="shared" si="5"/>
        <v>0</v>
      </c>
      <c r="N55" s="24">
        <v>6826937316.8512735</v>
      </c>
      <c r="O55" s="24">
        <f t="shared" si="6"/>
        <v>102404059752.7691</v>
      </c>
      <c r="P55" s="23" t="e">
        <f t="shared" si="0"/>
        <v>#VALUE!</v>
      </c>
      <c r="Q55" s="23" t="e">
        <f t="shared" si="7"/>
        <v>#VALUE!</v>
      </c>
      <c r="R55" s="23" t="e">
        <f t="shared" si="8"/>
        <v>#VALUE!</v>
      </c>
    </row>
    <row r="56" spans="1:18" ht="15" customHeight="1" x14ac:dyDescent="0.25">
      <c r="A56" s="19" t="s">
        <v>132</v>
      </c>
      <c r="B56" s="19" t="s">
        <v>133</v>
      </c>
      <c r="C56" s="19" t="s">
        <v>40</v>
      </c>
      <c r="D56" s="19" t="s">
        <v>22</v>
      </c>
      <c r="E56" s="19" t="s">
        <v>232</v>
      </c>
      <c r="F56" s="19" t="s">
        <v>232</v>
      </c>
      <c r="G56" s="19" t="e">
        <f t="shared" si="1"/>
        <v>#VALUE!</v>
      </c>
      <c r="H56" s="37">
        <f t="shared" si="2"/>
        <v>0</v>
      </c>
      <c r="I56" s="24">
        <v>1000000</v>
      </c>
      <c r="J56" s="24">
        <v>30000</v>
      </c>
      <c r="K56" s="24">
        <f t="shared" si="3"/>
        <v>56250</v>
      </c>
      <c r="L56" s="24" t="e">
        <f t="shared" si="4"/>
        <v>#VALUE!</v>
      </c>
      <c r="M56" s="36">
        <f t="shared" si="5"/>
        <v>0</v>
      </c>
      <c r="N56" s="24" t="s">
        <v>232</v>
      </c>
      <c r="O56" s="24" t="e">
        <f t="shared" si="6"/>
        <v>#VALUE!</v>
      </c>
      <c r="P56" s="23" t="e">
        <f t="shared" si="0"/>
        <v>#VALUE!</v>
      </c>
      <c r="Q56" s="23" t="e">
        <f t="shared" si="7"/>
        <v>#VALUE!</v>
      </c>
      <c r="R56" s="23" t="e">
        <f t="shared" si="8"/>
        <v>#VALUE!</v>
      </c>
    </row>
    <row r="57" spans="1:18" ht="15" customHeight="1" x14ac:dyDescent="0.25">
      <c r="A57" s="19" t="s">
        <v>134</v>
      </c>
      <c r="B57" s="19" t="s">
        <v>135</v>
      </c>
      <c r="C57" s="19" t="s">
        <v>18</v>
      </c>
      <c r="D57" s="19" t="s">
        <v>35</v>
      </c>
      <c r="E57" s="19">
        <v>905</v>
      </c>
      <c r="F57" s="21">
        <v>81.878453038673996</v>
      </c>
      <c r="G57" s="19">
        <f t="shared" si="1"/>
        <v>164.00000000000037</v>
      </c>
      <c r="H57" s="37">
        <f t="shared" si="2"/>
        <v>164.00000000000037</v>
      </c>
      <c r="I57" s="24">
        <v>1100000</v>
      </c>
      <c r="J57" s="24">
        <v>35000</v>
      </c>
      <c r="K57" s="24">
        <f t="shared" si="3"/>
        <v>65625</v>
      </c>
      <c r="L57" s="24">
        <f t="shared" si="4"/>
        <v>191162500.00000042</v>
      </c>
      <c r="M57" s="36">
        <f t="shared" si="5"/>
        <v>191162500.00000042</v>
      </c>
      <c r="N57" s="24">
        <v>491062.11491866165</v>
      </c>
      <c r="O57" s="24">
        <f t="shared" si="6"/>
        <v>7365931.7237799251</v>
      </c>
      <c r="P57" s="23">
        <f t="shared" si="0"/>
        <v>25.952249785707064</v>
      </c>
      <c r="Q57" s="23">
        <f t="shared" si="7"/>
        <v>8.6507499285690201</v>
      </c>
      <c r="R57" s="23">
        <f t="shared" si="8"/>
        <v>77.856749357121174</v>
      </c>
    </row>
    <row r="58" spans="1:18" ht="15" customHeight="1" x14ac:dyDescent="0.25">
      <c r="A58" s="19" t="s">
        <v>136</v>
      </c>
      <c r="B58" s="19" t="s">
        <v>137</v>
      </c>
      <c r="C58" s="19" t="s">
        <v>18</v>
      </c>
      <c r="D58" s="19" t="s">
        <v>35</v>
      </c>
      <c r="E58" s="19" t="s">
        <v>232</v>
      </c>
      <c r="F58" s="19" t="s">
        <v>232</v>
      </c>
      <c r="G58" s="19" t="e">
        <f t="shared" si="1"/>
        <v>#VALUE!</v>
      </c>
      <c r="H58" s="37">
        <f t="shared" si="2"/>
        <v>0</v>
      </c>
      <c r="I58" s="24">
        <v>1100000</v>
      </c>
      <c r="J58" s="24">
        <v>35000</v>
      </c>
      <c r="K58" s="24">
        <f t="shared" si="3"/>
        <v>65625</v>
      </c>
      <c r="L58" s="24" t="e">
        <f t="shared" si="4"/>
        <v>#VALUE!</v>
      </c>
      <c r="M58" s="36">
        <f t="shared" si="5"/>
        <v>0</v>
      </c>
      <c r="N58" s="24">
        <v>129924258.050329</v>
      </c>
      <c r="O58" s="24">
        <f t="shared" si="6"/>
        <v>1948863870.754935</v>
      </c>
      <c r="P58" s="23" t="e">
        <f t="shared" si="0"/>
        <v>#VALUE!</v>
      </c>
      <c r="Q58" s="23" t="e">
        <f t="shared" si="7"/>
        <v>#VALUE!</v>
      </c>
      <c r="R58" s="23" t="e">
        <f t="shared" si="8"/>
        <v>#VALUE!</v>
      </c>
    </row>
    <row r="59" spans="1:18" ht="15" customHeight="1" x14ac:dyDescent="0.25">
      <c r="A59" s="19" t="s">
        <v>138</v>
      </c>
      <c r="B59" s="19" t="s">
        <v>139</v>
      </c>
      <c r="C59" s="19" t="s">
        <v>18</v>
      </c>
      <c r="D59" s="19" t="s">
        <v>35</v>
      </c>
      <c r="E59" s="19" t="s">
        <v>232</v>
      </c>
      <c r="F59" s="19" t="s">
        <v>232</v>
      </c>
      <c r="G59" s="19" t="e">
        <f t="shared" si="1"/>
        <v>#VALUE!</v>
      </c>
      <c r="H59" s="37">
        <f t="shared" si="2"/>
        <v>0</v>
      </c>
      <c r="I59" s="24">
        <v>1100000</v>
      </c>
      <c r="J59" s="24">
        <v>35000</v>
      </c>
      <c r="K59" s="24">
        <f t="shared" si="3"/>
        <v>65625</v>
      </c>
      <c r="L59" s="24" t="e">
        <f t="shared" si="4"/>
        <v>#VALUE!</v>
      </c>
      <c r="M59" s="36">
        <f t="shared" si="5"/>
        <v>0</v>
      </c>
      <c r="N59" s="24">
        <v>12579420182.430964</v>
      </c>
      <c r="O59" s="24">
        <f t="shared" si="6"/>
        <v>188691302736.46445</v>
      </c>
      <c r="P59" s="23" t="e">
        <f t="shared" si="0"/>
        <v>#VALUE!</v>
      </c>
      <c r="Q59" s="23" t="e">
        <f t="shared" si="7"/>
        <v>#VALUE!</v>
      </c>
      <c r="R59" s="23" t="e">
        <f t="shared" si="8"/>
        <v>#VALUE!</v>
      </c>
    </row>
    <row r="60" spans="1:18" ht="15" customHeight="1" x14ac:dyDescent="0.25">
      <c r="A60" s="19" t="s">
        <v>140</v>
      </c>
      <c r="B60" s="19" t="s">
        <v>141</v>
      </c>
      <c r="C60" s="19" t="s">
        <v>40</v>
      </c>
      <c r="D60" s="19" t="s">
        <v>22</v>
      </c>
      <c r="E60" s="19">
        <v>137430</v>
      </c>
      <c r="F60" s="21">
        <v>92.209852288437801</v>
      </c>
      <c r="G60" s="19">
        <f t="shared" si="1"/>
        <v>10705.999999999933</v>
      </c>
      <c r="H60" s="37">
        <f t="shared" si="2"/>
        <v>10705.999999999933</v>
      </c>
      <c r="I60" s="24">
        <v>1000000</v>
      </c>
      <c r="J60" s="24">
        <v>30000</v>
      </c>
      <c r="K60" s="24">
        <f t="shared" si="3"/>
        <v>56250</v>
      </c>
      <c r="L60" s="24">
        <f t="shared" si="4"/>
        <v>11308212499.999929</v>
      </c>
      <c r="M60" s="36">
        <f t="shared" si="5"/>
        <v>11308212499.999929</v>
      </c>
      <c r="N60" s="24">
        <v>26385352958.727764</v>
      </c>
      <c r="O60" s="24">
        <f t="shared" si="6"/>
        <v>395780294380.91644</v>
      </c>
      <c r="P60" s="23">
        <f t="shared" si="0"/>
        <v>2.8571944234081565E-2</v>
      </c>
      <c r="Q60" s="23">
        <f t="shared" si="7"/>
        <v>9.5239814113605211E-3</v>
      </c>
      <c r="R60" s="23">
        <f t="shared" si="8"/>
        <v>8.5715832702244685E-2</v>
      </c>
    </row>
    <row r="61" spans="1:18" ht="15" customHeight="1" x14ac:dyDescent="0.25">
      <c r="A61" s="19" t="s">
        <v>142</v>
      </c>
      <c r="B61" s="19" t="s">
        <v>143</v>
      </c>
      <c r="C61" s="19" t="s">
        <v>40</v>
      </c>
      <c r="D61" s="19" t="s">
        <v>35</v>
      </c>
      <c r="E61" s="19">
        <v>7259</v>
      </c>
      <c r="F61" s="21">
        <v>51.412040225926397</v>
      </c>
      <c r="G61" s="19">
        <f t="shared" si="1"/>
        <v>3527.0000000000032</v>
      </c>
      <c r="H61" s="37">
        <f t="shared" si="2"/>
        <v>3527.0000000000032</v>
      </c>
      <c r="I61" s="24">
        <v>1100000</v>
      </c>
      <c r="J61" s="24">
        <v>35000</v>
      </c>
      <c r="K61" s="24">
        <f t="shared" si="3"/>
        <v>65625</v>
      </c>
      <c r="L61" s="24">
        <f t="shared" si="4"/>
        <v>4111159375.0000038</v>
      </c>
      <c r="M61" s="36">
        <f t="shared" si="5"/>
        <v>4111159375.0000038</v>
      </c>
      <c r="N61" s="24">
        <v>390192552.90387428</v>
      </c>
      <c r="O61" s="24">
        <f t="shared" si="6"/>
        <v>5852888293.5581141</v>
      </c>
      <c r="P61" s="23">
        <f t="shared" si="0"/>
        <v>0.70241548596184289</v>
      </c>
      <c r="Q61" s="23">
        <f t="shared" si="7"/>
        <v>0.23413849532061426</v>
      </c>
      <c r="R61" s="23">
        <f t="shared" si="8"/>
        <v>2.1072464578855286</v>
      </c>
    </row>
    <row r="62" spans="1:18" ht="15" customHeight="1" x14ac:dyDescent="0.25">
      <c r="A62" s="19" t="s">
        <v>144</v>
      </c>
      <c r="B62" s="19" t="s">
        <v>145</v>
      </c>
      <c r="C62" s="19" t="s">
        <v>29</v>
      </c>
      <c r="D62" s="19" t="s">
        <v>32</v>
      </c>
      <c r="E62" s="19" t="s">
        <v>232</v>
      </c>
      <c r="F62" s="19" t="s">
        <v>232</v>
      </c>
      <c r="G62" s="19" t="e">
        <f t="shared" si="1"/>
        <v>#VALUE!</v>
      </c>
      <c r="H62" s="37">
        <f t="shared" si="2"/>
        <v>0</v>
      </c>
      <c r="I62" s="24">
        <v>1200000</v>
      </c>
      <c r="J62" s="24">
        <v>35000</v>
      </c>
      <c r="K62" s="24">
        <f t="shared" si="3"/>
        <v>65625</v>
      </c>
      <c r="L62" s="24" t="e">
        <f t="shared" si="4"/>
        <v>#VALUE!</v>
      </c>
      <c r="M62" s="36">
        <f t="shared" si="5"/>
        <v>0</v>
      </c>
      <c r="N62" s="24">
        <v>6226958917.0209513</v>
      </c>
      <c r="O62" s="24">
        <f t="shared" si="6"/>
        <v>93404383755.31427</v>
      </c>
      <c r="P62" s="23" t="e">
        <f t="shared" si="0"/>
        <v>#VALUE!</v>
      </c>
      <c r="Q62" s="23" t="e">
        <f t="shared" si="7"/>
        <v>#VALUE!</v>
      </c>
      <c r="R62" s="23" t="e">
        <f t="shared" si="8"/>
        <v>#VALUE!</v>
      </c>
    </row>
    <row r="63" spans="1:18" ht="15" customHeight="1" x14ac:dyDescent="0.25">
      <c r="A63" s="19" t="s">
        <v>146</v>
      </c>
      <c r="B63" s="19" t="s">
        <v>147</v>
      </c>
      <c r="C63" s="19" t="s">
        <v>14</v>
      </c>
      <c r="D63" s="19" t="s">
        <v>32</v>
      </c>
      <c r="E63" s="19" t="s">
        <v>232</v>
      </c>
      <c r="F63" s="19" t="s">
        <v>232</v>
      </c>
      <c r="G63" s="19" t="e">
        <f t="shared" si="1"/>
        <v>#VALUE!</v>
      </c>
      <c r="H63" s="37">
        <f t="shared" si="2"/>
        <v>0</v>
      </c>
      <c r="I63" s="24">
        <v>1200000</v>
      </c>
      <c r="J63" s="24">
        <v>35000</v>
      </c>
      <c r="K63" s="24">
        <f t="shared" si="3"/>
        <v>65625</v>
      </c>
      <c r="L63" s="24" t="e">
        <f t="shared" si="4"/>
        <v>#VALUE!</v>
      </c>
      <c r="M63" s="36">
        <f t="shared" si="5"/>
        <v>0</v>
      </c>
      <c r="N63" s="24">
        <v>76822965.242555067</v>
      </c>
      <c r="O63" s="24">
        <f t="shared" si="6"/>
        <v>1152344478.6383259</v>
      </c>
      <c r="P63" s="23" t="e">
        <f t="shared" si="0"/>
        <v>#VALUE!</v>
      </c>
      <c r="Q63" s="23" t="e">
        <f t="shared" si="7"/>
        <v>#VALUE!</v>
      </c>
      <c r="R63" s="23" t="e">
        <f t="shared" si="8"/>
        <v>#VALUE!</v>
      </c>
    </row>
    <row r="64" spans="1:18" ht="15" customHeight="1" x14ac:dyDescent="0.25">
      <c r="A64" s="19" t="s">
        <v>148</v>
      </c>
      <c r="B64" s="19" t="s">
        <v>149</v>
      </c>
      <c r="C64" s="19" t="s">
        <v>45</v>
      </c>
      <c r="D64" s="19" t="s">
        <v>19</v>
      </c>
      <c r="E64" s="19">
        <v>58412</v>
      </c>
      <c r="F64" s="21">
        <v>17.8507840854619</v>
      </c>
      <c r="G64" s="19">
        <f t="shared" si="1"/>
        <v>47984.999999999993</v>
      </c>
      <c r="H64" s="37">
        <f t="shared" si="2"/>
        <v>47984.999999999993</v>
      </c>
      <c r="I64" s="24" t="s">
        <v>232</v>
      </c>
      <c r="J64" s="24" t="s">
        <v>232</v>
      </c>
      <c r="K64" s="24" t="e">
        <f t="shared" si="3"/>
        <v>#VALUE!</v>
      </c>
      <c r="L64" s="24" t="e">
        <f t="shared" si="4"/>
        <v>#VALUE!</v>
      </c>
      <c r="M64" s="36">
        <f t="shared" si="5"/>
        <v>0</v>
      </c>
      <c r="N64" s="24">
        <v>524357312.05145437</v>
      </c>
      <c r="O64" s="24">
        <f t="shared" si="6"/>
        <v>7865359680.7718153</v>
      </c>
      <c r="P64" s="23" t="e">
        <f t="shared" si="0"/>
        <v>#VALUE!</v>
      </c>
      <c r="Q64" s="23" t="e">
        <f t="shared" si="7"/>
        <v>#VALUE!</v>
      </c>
      <c r="R64" s="23" t="e">
        <f t="shared" si="8"/>
        <v>#VALUE!</v>
      </c>
    </row>
    <row r="65" spans="1:18" ht="15" customHeight="1" x14ac:dyDescent="0.25">
      <c r="A65" s="19" t="s">
        <v>150</v>
      </c>
      <c r="B65" s="19" t="s">
        <v>151</v>
      </c>
      <c r="C65" s="19" t="s">
        <v>14</v>
      </c>
      <c r="D65" s="19" t="s">
        <v>32</v>
      </c>
      <c r="E65" s="19" t="s">
        <v>232</v>
      </c>
      <c r="F65" s="19" t="s">
        <v>232</v>
      </c>
      <c r="G65" s="19" t="e">
        <f t="shared" si="1"/>
        <v>#VALUE!</v>
      </c>
      <c r="H65" s="37">
        <f t="shared" si="2"/>
        <v>0</v>
      </c>
      <c r="I65" s="24">
        <v>1200000</v>
      </c>
      <c r="J65" s="24">
        <v>35000</v>
      </c>
      <c r="K65" s="24">
        <f t="shared" si="3"/>
        <v>65625</v>
      </c>
      <c r="L65" s="24" t="e">
        <f t="shared" si="4"/>
        <v>#VALUE!</v>
      </c>
      <c r="M65" s="36">
        <f t="shared" si="5"/>
        <v>0</v>
      </c>
      <c r="N65" s="24">
        <v>5463318403.1045046</v>
      </c>
      <c r="O65" s="24">
        <f t="shared" si="6"/>
        <v>81949776046.567566</v>
      </c>
      <c r="P65" s="23" t="e">
        <f t="shared" si="0"/>
        <v>#VALUE!</v>
      </c>
      <c r="Q65" s="23" t="e">
        <f t="shared" si="7"/>
        <v>#VALUE!</v>
      </c>
      <c r="R65" s="23" t="e">
        <f t="shared" si="8"/>
        <v>#VALUE!</v>
      </c>
    </row>
    <row r="66" spans="1:18" ht="15" customHeight="1" x14ac:dyDescent="0.25">
      <c r="A66" s="19" t="s">
        <v>152</v>
      </c>
      <c r="B66" s="19" t="s">
        <v>153</v>
      </c>
      <c r="C66" s="19" t="s">
        <v>29</v>
      </c>
      <c r="D66" s="19" t="s">
        <v>19</v>
      </c>
      <c r="E66" s="19" t="s">
        <v>232</v>
      </c>
      <c r="F66" s="19" t="s">
        <v>232</v>
      </c>
      <c r="G66" s="19" t="e">
        <f t="shared" si="1"/>
        <v>#VALUE!</v>
      </c>
      <c r="H66" s="37">
        <f t="shared" si="2"/>
        <v>0</v>
      </c>
      <c r="I66" s="24" t="s">
        <v>232</v>
      </c>
      <c r="J66" s="24" t="s">
        <v>232</v>
      </c>
      <c r="K66" s="24" t="e">
        <f t="shared" si="3"/>
        <v>#VALUE!</v>
      </c>
      <c r="L66" s="24" t="e">
        <f t="shared" si="4"/>
        <v>#VALUE!</v>
      </c>
      <c r="M66" s="36">
        <f t="shared" si="5"/>
        <v>0</v>
      </c>
      <c r="N66" s="24" t="s">
        <v>232</v>
      </c>
      <c r="O66" s="24" t="e">
        <f t="shared" si="6"/>
        <v>#VALUE!</v>
      </c>
      <c r="P66" s="23" t="e">
        <f t="shared" si="0"/>
        <v>#VALUE!</v>
      </c>
      <c r="Q66" s="23" t="e">
        <f t="shared" si="7"/>
        <v>#VALUE!</v>
      </c>
      <c r="R66" s="23" t="e">
        <f t="shared" si="8"/>
        <v>#VALUE!</v>
      </c>
    </row>
    <row r="67" spans="1:18" ht="15" customHeight="1" x14ac:dyDescent="0.25">
      <c r="A67" s="19" t="s">
        <v>154</v>
      </c>
      <c r="B67" s="19" t="s">
        <v>155</v>
      </c>
      <c r="C67" s="19" t="s">
        <v>18</v>
      </c>
      <c r="D67" s="19" t="s">
        <v>26</v>
      </c>
      <c r="E67" s="19" t="s">
        <v>232</v>
      </c>
      <c r="F67" s="19" t="s">
        <v>232</v>
      </c>
      <c r="G67" s="19" t="e">
        <f t="shared" si="1"/>
        <v>#VALUE!</v>
      </c>
      <c r="H67" s="37">
        <f t="shared" si="2"/>
        <v>0</v>
      </c>
      <c r="I67" s="24" t="s">
        <v>232</v>
      </c>
      <c r="J67" s="24" t="s">
        <v>232</v>
      </c>
      <c r="K67" s="24" t="e">
        <f t="shared" si="3"/>
        <v>#VALUE!</v>
      </c>
      <c r="L67" s="24" t="e">
        <f t="shared" si="4"/>
        <v>#VALUE!</v>
      </c>
      <c r="M67" s="36">
        <f t="shared" si="5"/>
        <v>0</v>
      </c>
      <c r="N67" s="24">
        <v>87317583.851148248</v>
      </c>
      <c r="O67" s="24">
        <f t="shared" si="6"/>
        <v>1309763757.7672238</v>
      </c>
      <c r="P67" s="23" t="e">
        <f t="shared" ref="P67:P130" si="9">L67/O67</f>
        <v>#VALUE!</v>
      </c>
      <c r="Q67" s="23" t="e">
        <f t="shared" si="7"/>
        <v>#VALUE!</v>
      </c>
      <c r="R67" s="23" t="e">
        <f t="shared" si="8"/>
        <v>#VALUE!</v>
      </c>
    </row>
    <row r="68" spans="1:18" ht="15" customHeight="1" x14ac:dyDescent="0.25">
      <c r="A68" s="19" t="s">
        <v>156</v>
      </c>
      <c r="B68" s="19" t="s">
        <v>157</v>
      </c>
      <c r="C68" s="19" t="s">
        <v>45</v>
      </c>
      <c r="D68" s="19" t="s">
        <v>19</v>
      </c>
      <c r="E68" s="19">
        <v>78161</v>
      </c>
      <c r="F68" s="21">
        <v>65.270403398114198</v>
      </c>
      <c r="G68" s="19">
        <f t="shared" ref="G68:G131" si="10">(1-(F68/100))*E68</f>
        <v>27144.999999999964</v>
      </c>
      <c r="H68" s="37">
        <f t="shared" ref="H68:H131" si="11">IFERROR(G68,0)</f>
        <v>27144.999999999964</v>
      </c>
      <c r="I68" s="24" t="s">
        <v>232</v>
      </c>
      <c r="J68" s="24" t="s">
        <v>232</v>
      </c>
      <c r="K68" s="24" t="e">
        <f t="shared" ref="K68:K131" si="12">J68*(7.5/4)</f>
        <v>#VALUE!</v>
      </c>
      <c r="L68" s="24" t="e">
        <f t="shared" ref="L68:L131" si="13">G68*(I68+K68)</f>
        <v>#VALUE!</v>
      </c>
      <c r="M68" s="36">
        <f t="shared" ref="M68:M131" si="14">IFERROR(L68,0)</f>
        <v>0</v>
      </c>
      <c r="N68" s="24">
        <v>3328745232.5822215</v>
      </c>
      <c r="O68" s="24">
        <f t="shared" ref="O68:O131" si="15">N68*15</f>
        <v>49931178488.733322</v>
      </c>
      <c r="P68" s="23" t="e">
        <f t="shared" si="9"/>
        <v>#VALUE!</v>
      </c>
      <c r="Q68" s="23" t="e">
        <f t="shared" ref="Q68:Q131" si="16">(L68/2)/(O68*1.5)</f>
        <v>#VALUE!</v>
      </c>
      <c r="R68" s="23" t="e">
        <f t="shared" ref="R68:R131" si="17">(L68*1.5)/(O68/2)</f>
        <v>#VALUE!</v>
      </c>
    </row>
    <row r="69" spans="1:18" ht="15" customHeight="1" x14ac:dyDescent="0.25">
      <c r="A69" s="19" t="s">
        <v>158</v>
      </c>
      <c r="B69" s="19" t="s">
        <v>159</v>
      </c>
      <c r="C69" s="19" t="s">
        <v>45</v>
      </c>
      <c r="D69" s="19" t="s">
        <v>19</v>
      </c>
      <c r="E69" s="19">
        <v>1049446</v>
      </c>
      <c r="F69" s="21">
        <v>100</v>
      </c>
      <c r="G69" s="19">
        <f t="shared" si="10"/>
        <v>0</v>
      </c>
      <c r="H69" s="37">
        <f t="shared" si="11"/>
        <v>0</v>
      </c>
      <c r="I69" s="24" t="s">
        <v>232</v>
      </c>
      <c r="J69" s="24" t="s">
        <v>232</v>
      </c>
      <c r="K69" s="24" t="e">
        <f t="shared" si="12"/>
        <v>#VALUE!</v>
      </c>
      <c r="L69" s="24" t="e">
        <f t="shared" si="13"/>
        <v>#VALUE!</v>
      </c>
      <c r="M69" s="36">
        <f t="shared" si="14"/>
        <v>0</v>
      </c>
      <c r="N69" s="24">
        <v>4406730484.3344297</v>
      </c>
      <c r="O69" s="24">
        <f t="shared" si="15"/>
        <v>66100957265.016449</v>
      </c>
      <c r="P69" s="23" t="e">
        <f t="shared" si="9"/>
        <v>#VALUE!</v>
      </c>
      <c r="Q69" s="23" t="e">
        <f t="shared" si="16"/>
        <v>#VALUE!</v>
      </c>
      <c r="R69" s="23" t="e">
        <f t="shared" si="17"/>
        <v>#VALUE!</v>
      </c>
    </row>
    <row r="70" spans="1:18" ht="15" customHeight="1" x14ac:dyDescent="0.25">
      <c r="A70" s="19" t="s">
        <v>160</v>
      </c>
      <c r="B70" s="19" t="s">
        <v>161</v>
      </c>
      <c r="C70" s="19" t="s">
        <v>29</v>
      </c>
      <c r="D70" s="19" t="s">
        <v>26</v>
      </c>
      <c r="E70" s="19" t="s">
        <v>232</v>
      </c>
      <c r="F70" s="19" t="s">
        <v>232</v>
      </c>
      <c r="G70" s="19" t="e">
        <f t="shared" si="10"/>
        <v>#VALUE!</v>
      </c>
      <c r="H70" s="37">
        <f t="shared" si="11"/>
        <v>0</v>
      </c>
      <c r="I70" s="24" t="s">
        <v>232</v>
      </c>
      <c r="J70" s="24" t="s">
        <v>232</v>
      </c>
      <c r="K70" s="24" t="e">
        <f t="shared" si="12"/>
        <v>#VALUE!</v>
      </c>
      <c r="L70" s="24" t="e">
        <f t="shared" si="13"/>
        <v>#VALUE!</v>
      </c>
      <c r="M70" s="36">
        <f t="shared" si="14"/>
        <v>0</v>
      </c>
      <c r="N70" s="24" t="s">
        <v>232</v>
      </c>
      <c r="O70" s="24" t="e">
        <f t="shared" si="15"/>
        <v>#VALUE!</v>
      </c>
      <c r="P70" s="23" t="e">
        <f t="shared" si="9"/>
        <v>#VALUE!</v>
      </c>
      <c r="Q70" s="23" t="e">
        <f t="shared" si="16"/>
        <v>#VALUE!</v>
      </c>
      <c r="R70" s="23" t="e">
        <f t="shared" si="17"/>
        <v>#VALUE!</v>
      </c>
    </row>
    <row r="71" spans="1:18" ht="15" customHeight="1" x14ac:dyDescent="0.25">
      <c r="A71" s="19" t="s">
        <v>162</v>
      </c>
      <c r="B71" s="19" t="s">
        <v>163</v>
      </c>
      <c r="C71" s="19" t="s">
        <v>18</v>
      </c>
      <c r="D71" s="19" t="s">
        <v>32</v>
      </c>
      <c r="E71" s="19" t="s">
        <v>232</v>
      </c>
      <c r="F71" s="19" t="s">
        <v>232</v>
      </c>
      <c r="G71" s="19" t="e">
        <f t="shared" si="10"/>
        <v>#VALUE!</v>
      </c>
      <c r="H71" s="37">
        <f t="shared" si="11"/>
        <v>0</v>
      </c>
      <c r="I71" s="24">
        <v>1200000</v>
      </c>
      <c r="J71" s="24">
        <v>35000</v>
      </c>
      <c r="K71" s="24">
        <f t="shared" si="12"/>
        <v>65625</v>
      </c>
      <c r="L71" s="24" t="e">
        <f t="shared" si="13"/>
        <v>#VALUE!</v>
      </c>
      <c r="M71" s="36">
        <f t="shared" si="14"/>
        <v>0</v>
      </c>
      <c r="N71" s="24">
        <v>6654882999.5966587</v>
      </c>
      <c r="O71" s="24">
        <f t="shared" si="15"/>
        <v>99823244993.949875</v>
      </c>
      <c r="P71" s="23" t="e">
        <f t="shared" si="9"/>
        <v>#VALUE!</v>
      </c>
      <c r="Q71" s="23" t="e">
        <f t="shared" si="16"/>
        <v>#VALUE!</v>
      </c>
      <c r="R71" s="23" t="e">
        <f t="shared" si="17"/>
        <v>#VALUE!</v>
      </c>
    </row>
    <row r="72" spans="1:18" ht="15" customHeight="1" x14ac:dyDescent="0.25">
      <c r="A72" s="19" t="s">
        <v>164</v>
      </c>
      <c r="B72" s="19" t="s">
        <v>165</v>
      </c>
      <c r="C72" s="19" t="s">
        <v>14</v>
      </c>
      <c r="D72" s="19" t="s">
        <v>32</v>
      </c>
      <c r="E72" s="19" t="s">
        <v>232</v>
      </c>
      <c r="F72" s="19" t="s">
        <v>232</v>
      </c>
      <c r="G72" s="19" t="e">
        <f t="shared" si="10"/>
        <v>#VALUE!</v>
      </c>
      <c r="H72" s="37">
        <f t="shared" si="11"/>
        <v>0</v>
      </c>
      <c r="I72" s="24">
        <v>1200000</v>
      </c>
      <c r="J72" s="24">
        <v>35000</v>
      </c>
      <c r="K72" s="24">
        <f t="shared" si="12"/>
        <v>65625</v>
      </c>
      <c r="L72" s="24" t="e">
        <f t="shared" si="13"/>
        <v>#VALUE!</v>
      </c>
      <c r="M72" s="36">
        <f t="shared" si="14"/>
        <v>0</v>
      </c>
      <c r="N72" s="24">
        <v>45972784.152787477</v>
      </c>
      <c r="O72" s="24">
        <f t="shared" si="15"/>
        <v>689591762.29181218</v>
      </c>
      <c r="P72" s="23" t="e">
        <f t="shared" si="9"/>
        <v>#VALUE!</v>
      </c>
      <c r="Q72" s="23" t="e">
        <f t="shared" si="16"/>
        <v>#VALUE!</v>
      </c>
      <c r="R72" s="23" t="e">
        <f t="shared" si="17"/>
        <v>#VALUE!</v>
      </c>
    </row>
    <row r="73" spans="1:18" ht="15" customHeight="1" x14ac:dyDescent="0.25">
      <c r="A73" s="19" t="s">
        <v>166</v>
      </c>
      <c r="B73" s="19" t="s">
        <v>167</v>
      </c>
      <c r="C73" s="19" t="s">
        <v>40</v>
      </c>
      <c r="D73" s="19" t="s">
        <v>19</v>
      </c>
      <c r="E73" s="19">
        <v>19040</v>
      </c>
      <c r="F73" s="19" t="s">
        <v>232</v>
      </c>
      <c r="G73" s="19" t="e">
        <f t="shared" si="10"/>
        <v>#VALUE!</v>
      </c>
      <c r="H73" s="37">
        <f t="shared" si="11"/>
        <v>0</v>
      </c>
      <c r="I73" s="24">
        <v>1100000</v>
      </c>
      <c r="J73" s="24">
        <v>33000</v>
      </c>
      <c r="K73" s="24">
        <f t="shared" si="12"/>
        <v>61875</v>
      </c>
      <c r="L73" s="24" t="e">
        <f t="shared" si="13"/>
        <v>#VALUE!</v>
      </c>
      <c r="M73" s="36">
        <f t="shared" si="14"/>
        <v>0</v>
      </c>
      <c r="N73" s="24">
        <v>123856542.27513833</v>
      </c>
      <c r="O73" s="24">
        <f t="shared" si="15"/>
        <v>1857848134.127075</v>
      </c>
      <c r="P73" s="23" t="e">
        <f t="shared" si="9"/>
        <v>#VALUE!</v>
      </c>
      <c r="Q73" s="23" t="e">
        <f t="shared" si="16"/>
        <v>#VALUE!</v>
      </c>
      <c r="R73" s="23" t="e">
        <f t="shared" si="17"/>
        <v>#VALUE!</v>
      </c>
    </row>
    <row r="74" spans="1:18" ht="15" customHeight="1" x14ac:dyDescent="0.25">
      <c r="A74" s="19" t="s">
        <v>168</v>
      </c>
      <c r="B74" s="19" t="s">
        <v>169</v>
      </c>
      <c r="C74" s="19" t="s">
        <v>45</v>
      </c>
      <c r="D74" s="19" t="s">
        <v>19</v>
      </c>
      <c r="E74" s="19">
        <v>643782</v>
      </c>
      <c r="F74" s="19" t="s">
        <v>232</v>
      </c>
      <c r="G74" s="19" t="e">
        <f t="shared" si="10"/>
        <v>#VALUE!</v>
      </c>
      <c r="H74" s="37">
        <f t="shared" si="11"/>
        <v>0</v>
      </c>
      <c r="I74" s="24" t="s">
        <v>232</v>
      </c>
      <c r="J74" s="24" t="s">
        <v>232</v>
      </c>
      <c r="K74" s="24" t="e">
        <f t="shared" si="12"/>
        <v>#VALUE!</v>
      </c>
      <c r="L74" s="24" t="e">
        <f t="shared" si="13"/>
        <v>#VALUE!</v>
      </c>
      <c r="M74" s="36">
        <f t="shared" si="14"/>
        <v>0</v>
      </c>
      <c r="N74" s="24">
        <v>6763891296.0023947</v>
      </c>
      <c r="O74" s="24">
        <f t="shared" si="15"/>
        <v>101458369440.03592</v>
      </c>
      <c r="P74" s="23" t="e">
        <f t="shared" si="9"/>
        <v>#VALUE!</v>
      </c>
      <c r="Q74" s="23" t="e">
        <f t="shared" si="16"/>
        <v>#VALUE!</v>
      </c>
      <c r="R74" s="23" t="e">
        <f t="shared" si="17"/>
        <v>#VALUE!</v>
      </c>
    </row>
    <row r="75" spans="1:18" ht="15" customHeight="1" x14ac:dyDescent="0.25">
      <c r="A75" s="19" t="s">
        <v>170</v>
      </c>
      <c r="B75" s="19" t="s">
        <v>171</v>
      </c>
      <c r="C75" s="19" t="s">
        <v>40</v>
      </c>
      <c r="D75" s="19" t="s">
        <v>32</v>
      </c>
      <c r="E75" s="19" t="s">
        <v>232</v>
      </c>
      <c r="F75" s="19" t="s">
        <v>232</v>
      </c>
      <c r="G75" s="19" t="e">
        <f t="shared" si="10"/>
        <v>#VALUE!</v>
      </c>
      <c r="H75" s="37">
        <f t="shared" si="11"/>
        <v>0</v>
      </c>
      <c r="I75" s="24">
        <v>1200000</v>
      </c>
      <c r="J75" s="24">
        <v>35000</v>
      </c>
      <c r="K75" s="24">
        <f t="shared" si="12"/>
        <v>65625</v>
      </c>
      <c r="L75" s="24" t="e">
        <f t="shared" si="13"/>
        <v>#VALUE!</v>
      </c>
      <c r="M75" s="36">
        <f t="shared" si="14"/>
        <v>0</v>
      </c>
      <c r="N75" s="24">
        <v>4194607406.4218354</v>
      </c>
      <c r="O75" s="24">
        <f t="shared" si="15"/>
        <v>62919111096.32753</v>
      </c>
      <c r="P75" s="23" t="e">
        <f t="shared" si="9"/>
        <v>#VALUE!</v>
      </c>
      <c r="Q75" s="23" t="e">
        <f t="shared" si="16"/>
        <v>#VALUE!</v>
      </c>
      <c r="R75" s="23" t="e">
        <f t="shared" si="17"/>
        <v>#VALUE!</v>
      </c>
    </row>
    <row r="76" spans="1:18" ht="15" customHeight="1" x14ac:dyDescent="0.25">
      <c r="A76" s="19" t="s">
        <v>172</v>
      </c>
      <c r="B76" s="19" t="s">
        <v>173</v>
      </c>
      <c r="C76" s="19" t="s">
        <v>45</v>
      </c>
      <c r="D76" s="19" t="s">
        <v>19</v>
      </c>
      <c r="E76" s="19">
        <v>116960</v>
      </c>
      <c r="F76" s="19" t="s">
        <v>232</v>
      </c>
      <c r="G76" s="19" t="e">
        <f t="shared" si="10"/>
        <v>#VALUE!</v>
      </c>
      <c r="H76" s="37">
        <f t="shared" si="11"/>
        <v>0</v>
      </c>
      <c r="I76" s="24" t="s">
        <v>232</v>
      </c>
      <c r="J76" s="24" t="s">
        <v>232</v>
      </c>
      <c r="K76" s="24" t="e">
        <f t="shared" si="12"/>
        <v>#VALUE!</v>
      </c>
      <c r="L76" s="24" t="e">
        <f t="shared" si="13"/>
        <v>#VALUE!</v>
      </c>
      <c r="M76" s="36">
        <f t="shared" si="14"/>
        <v>0</v>
      </c>
      <c r="N76" s="24">
        <v>629296452.81922984</v>
      </c>
      <c r="O76" s="24">
        <f t="shared" si="15"/>
        <v>9439446792.2884483</v>
      </c>
      <c r="P76" s="23" t="e">
        <f t="shared" si="9"/>
        <v>#VALUE!</v>
      </c>
      <c r="Q76" s="23" t="e">
        <f t="shared" si="16"/>
        <v>#VALUE!</v>
      </c>
      <c r="R76" s="23" t="e">
        <f t="shared" si="17"/>
        <v>#VALUE!</v>
      </c>
    </row>
    <row r="77" spans="1:18" ht="15" customHeight="1" x14ac:dyDescent="0.25">
      <c r="A77" s="19" t="s">
        <v>174</v>
      </c>
      <c r="B77" s="19" t="s">
        <v>175</v>
      </c>
      <c r="C77" s="19" t="s">
        <v>29</v>
      </c>
      <c r="D77" s="19" t="s">
        <v>19</v>
      </c>
      <c r="E77" s="19" t="s">
        <v>232</v>
      </c>
      <c r="F77" s="19" t="s">
        <v>232</v>
      </c>
      <c r="G77" s="19" t="e">
        <f t="shared" si="10"/>
        <v>#VALUE!</v>
      </c>
      <c r="H77" s="37">
        <f t="shared" si="11"/>
        <v>0</v>
      </c>
      <c r="I77" s="24" t="s">
        <v>232</v>
      </c>
      <c r="J77" s="24" t="s">
        <v>232</v>
      </c>
      <c r="K77" s="24" t="e">
        <f t="shared" si="12"/>
        <v>#VALUE!</v>
      </c>
      <c r="L77" s="24" t="e">
        <f t="shared" si="13"/>
        <v>#VALUE!</v>
      </c>
      <c r="M77" s="36">
        <f t="shared" si="14"/>
        <v>0</v>
      </c>
      <c r="N77" s="24" t="s">
        <v>232</v>
      </c>
      <c r="O77" s="24" t="e">
        <f t="shared" si="15"/>
        <v>#VALUE!</v>
      </c>
      <c r="P77" s="23" t="e">
        <f t="shared" si="9"/>
        <v>#VALUE!</v>
      </c>
      <c r="Q77" s="23" t="e">
        <f t="shared" si="16"/>
        <v>#VALUE!</v>
      </c>
      <c r="R77" s="23" t="e">
        <f t="shared" si="17"/>
        <v>#VALUE!</v>
      </c>
    </row>
    <row r="78" spans="1:18" s="31" customFormat="1" ht="15" customHeight="1" x14ac:dyDescent="0.25">
      <c r="A78" s="31" t="s">
        <v>176</v>
      </c>
      <c r="B78" s="31" t="s">
        <v>177</v>
      </c>
      <c r="C78" s="31" t="s">
        <v>18</v>
      </c>
      <c r="D78" s="31" t="s">
        <v>35</v>
      </c>
      <c r="E78" s="19" t="s">
        <v>232</v>
      </c>
      <c r="F78" s="19" t="s">
        <v>232</v>
      </c>
      <c r="G78" s="19" t="e">
        <f t="shared" si="10"/>
        <v>#VALUE!</v>
      </c>
      <c r="H78" s="37">
        <f t="shared" si="11"/>
        <v>0</v>
      </c>
      <c r="I78" s="30">
        <v>1100000</v>
      </c>
      <c r="J78" s="30">
        <v>35000</v>
      </c>
      <c r="K78" s="24">
        <f t="shared" si="12"/>
        <v>65625</v>
      </c>
      <c r="L78" s="24" t="e">
        <f t="shared" si="13"/>
        <v>#VALUE!</v>
      </c>
      <c r="M78" s="36">
        <f t="shared" si="14"/>
        <v>0</v>
      </c>
      <c r="N78" s="30">
        <v>0</v>
      </c>
      <c r="O78" s="24">
        <f t="shared" si="15"/>
        <v>0</v>
      </c>
      <c r="P78" s="23" t="e">
        <f t="shared" si="9"/>
        <v>#VALUE!</v>
      </c>
      <c r="Q78" s="23" t="e">
        <f t="shared" si="16"/>
        <v>#VALUE!</v>
      </c>
      <c r="R78" s="23" t="e">
        <f t="shared" si="17"/>
        <v>#VALUE!</v>
      </c>
    </row>
    <row r="79" spans="1:18" ht="15" customHeight="1" x14ac:dyDescent="0.25">
      <c r="A79" s="19" t="s">
        <v>178</v>
      </c>
      <c r="B79" s="19" t="s">
        <v>179</v>
      </c>
      <c r="C79" s="19" t="s">
        <v>29</v>
      </c>
      <c r="D79" s="19" t="s">
        <v>26</v>
      </c>
      <c r="E79" s="19" t="s">
        <v>232</v>
      </c>
      <c r="F79" s="19" t="s">
        <v>232</v>
      </c>
      <c r="G79" s="19" t="e">
        <f t="shared" si="10"/>
        <v>#VALUE!</v>
      </c>
      <c r="H79" s="37">
        <f t="shared" si="11"/>
        <v>0</v>
      </c>
      <c r="I79" s="24" t="s">
        <v>232</v>
      </c>
      <c r="J79" s="24" t="s">
        <v>232</v>
      </c>
      <c r="K79" s="24" t="e">
        <f t="shared" si="12"/>
        <v>#VALUE!</v>
      </c>
      <c r="L79" s="24" t="e">
        <f t="shared" si="13"/>
        <v>#VALUE!</v>
      </c>
      <c r="M79" s="36">
        <f t="shared" si="14"/>
        <v>0</v>
      </c>
      <c r="N79" s="24" t="s">
        <v>232</v>
      </c>
      <c r="O79" s="24" t="e">
        <f t="shared" si="15"/>
        <v>#VALUE!</v>
      </c>
      <c r="P79" s="23" t="e">
        <f t="shared" si="9"/>
        <v>#VALUE!</v>
      </c>
      <c r="Q79" s="23" t="e">
        <f t="shared" si="16"/>
        <v>#VALUE!</v>
      </c>
      <c r="R79" s="23" t="e">
        <f t="shared" si="17"/>
        <v>#VALUE!</v>
      </c>
    </row>
    <row r="80" spans="1:18" ht="15" customHeight="1" x14ac:dyDescent="0.25">
      <c r="A80" s="19" t="s">
        <v>180</v>
      </c>
      <c r="B80" s="19" t="s">
        <v>181</v>
      </c>
      <c r="C80" s="19" t="s">
        <v>40</v>
      </c>
      <c r="D80" s="19" t="s">
        <v>35</v>
      </c>
      <c r="E80" s="19">
        <v>16122</v>
      </c>
      <c r="F80" s="21">
        <v>43.046768391018503</v>
      </c>
      <c r="G80" s="19">
        <f t="shared" si="10"/>
        <v>9181.9999999999964</v>
      </c>
      <c r="H80" s="37">
        <f t="shared" si="11"/>
        <v>9181.9999999999964</v>
      </c>
      <c r="I80" s="24">
        <v>1100000</v>
      </c>
      <c r="J80" s="24">
        <v>35000</v>
      </c>
      <c r="K80" s="24">
        <f t="shared" si="12"/>
        <v>65625</v>
      </c>
      <c r="L80" s="24">
        <f t="shared" si="13"/>
        <v>10702768749.999996</v>
      </c>
      <c r="M80" s="36">
        <f t="shared" si="14"/>
        <v>10702768749.999996</v>
      </c>
      <c r="N80" s="24">
        <v>1835017152.9300125</v>
      </c>
      <c r="O80" s="24">
        <f t="shared" si="15"/>
        <v>27525257293.950188</v>
      </c>
      <c r="P80" s="23">
        <f t="shared" si="9"/>
        <v>0.38883446703883751</v>
      </c>
      <c r="Q80" s="23">
        <f t="shared" si="16"/>
        <v>0.12961148901294586</v>
      </c>
      <c r="R80" s="23">
        <f t="shared" si="17"/>
        <v>1.1665034011165125</v>
      </c>
    </row>
    <row r="81" spans="1:18" ht="15" customHeight="1" x14ac:dyDescent="0.25">
      <c r="A81" s="19" t="s">
        <v>182</v>
      </c>
      <c r="B81" s="19" t="s">
        <v>183</v>
      </c>
      <c r="C81" s="19" t="s">
        <v>14</v>
      </c>
      <c r="D81" s="19" t="s">
        <v>32</v>
      </c>
      <c r="E81" s="19">
        <v>43348</v>
      </c>
      <c r="F81" s="19" t="s">
        <v>232</v>
      </c>
      <c r="G81" s="19" t="e">
        <f t="shared" si="10"/>
        <v>#VALUE!</v>
      </c>
      <c r="H81" s="37">
        <f t="shared" si="11"/>
        <v>0</v>
      </c>
      <c r="I81" s="24">
        <v>1200000</v>
      </c>
      <c r="J81" s="24">
        <v>35000</v>
      </c>
      <c r="K81" s="24">
        <f t="shared" si="12"/>
        <v>65625</v>
      </c>
      <c r="L81" s="24" t="e">
        <f t="shared" si="13"/>
        <v>#VALUE!</v>
      </c>
      <c r="M81" s="36">
        <f t="shared" si="14"/>
        <v>0</v>
      </c>
      <c r="N81" s="24">
        <v>1333953226.6564479</v>
      </c>
      <c r="O81" s="24">
        <f t="shared" si="15"/>
        <v>20009298399.846718</v>
      </c>
      <c r="P81" s="23" t="e">
        <f t="shared" si="9"/>
        <v>#VALUE!</v>
      </c>
      <c r="Q81" s="23" t="e">
        <f t="shared" si="16"/>
        <v>#VALUE!</v>
      </c>
      <c r="R81" s="23" t="e">
        <f t="shared" si="17"/>
        <v>#VALUE!</v>
      </c>
    </row>
    <row r="82" spans="1:18" ht="15" customHeight="1" x14ac:dyDescent="0.25">
      <c r="A82" s="19" t="s">
        <v>184</v>
      </c>
      <c r="B82" s="19" t="s">
        <v>185</v>
      </c>
      <c r="C82" s="19" t="s">
        <v>14</v>
      </c>
      <c r="D82" s="19" t="s">
        <v>32</v>
      </c>
      <c r="E82" s="19" t="s">
        <v>232</v>
      </c>
      <c r="F82" s="19" t="s">
        <v>232</v>
      </c>
      <c r="G82" s="19" t="e">
        <f t="shared" si="10"/>
        <v>#VALUE!</v>
      </c>
      <c r="H82" s="37">
        <f t="shared" si="11"/>
        <v>0</v>
      </c>
      <c r="I82" s="24">
        <v>1200000</v>
      </c>
      <c r="J82" s="24">
        <v>35000</v>
      </c>
      <c r="K82" s="24">
        <f t="shared" si="12"/>
        <v>65625</v>
      </c>
      <c r="L82" s="24" t="e">
        <f t="shared" si="13"/>
        <v>#VALUE!</v>
      </c>
      <c r="M82" s="36">
        <f t="shared" si="14"/>
        <v>0</v>
      </c>
      <c r="N82" s="24">
        <v>142038641.37615088</v>
      </c>
      <c r="O82" s="24">
        <f t="shared" si="15"/>
        <v>2130579620.6422632</v>
      </c>
      <c r="P82" s="23" t="e">
        <f t="shared" si="9"/>
        <v>#VALUE!</v>
      </c>
      <c r="Q82" s="23" t="e">
        <f t="shared" si="16"/>
        <v>#VALUE!</v>
      </c>
      <c r="R82" s="23" t="e">
        <f t="shared" si="17"/>
        <v>#VALUE!</v>
      </c>
    </row>
    <row r="83" spans="1:18" ht="15" customHeight="1" x14ac:dyDescent="0.25">
      <c r="A83" s="19" t="s">
        <v>186</v>
      </c>
      <c r="B83" s="19" t="s">
        <v>187</v>
      </c>
      <c r="C83" s="19" t="s">
        <v>40</v>
      </c>
      <c r="D83" s="19" t="s">
        <v>35</v>
      </c>
      <c r="E83" s="19" t="s">
        <v>232</v>
      </c>
      <c r="F83" s="19" t="s">
        <v>232</v>
      </c>
      <c r="G83" s="19" t="e">
        <f t="shared" si="10"/>
        <v>#VALUE!</v>
      </c>
      <c r="H83" s="37">
        <f t="shared" si="11"/>
        <v>0</v>
      </c>
      <c r="I83" s="24">
        <v>1100000</v>
      </c>
      <c r="J83" s="24">
        <v>35000</v>
      </c>
      <c r="K83" s="24">
        <f t="shared" si="12"/>
        <v>65625</v>
      </c>
      <c r="L83" s="24" t="e">
        <f t="shared" si="13"/>
        <v>#VALUE!</v>
      </c>
      <c r="M83" s="36">
        <f t="shared" si="14"/>
        <v>0</v>
      </c>
      <c r="N83" s="24">
        <v>405082963.00590253</v>
      </c>
      <c r="O83" s="24">
        <f t="shared" si="15"/>
        <v>6076244445.0885382</v>
      </c>
      <c r="P83" s="23" t="e">
        <f t="shared" si="9"/>
        <v>#VALUE!</v>
      </c>
      <c r="Q83" s="23" t="e">
        <f t="shared" si="16"/>
        <v>#VALUE!</v>
      </c>
      <c r="R83" s="23" t="e">
        <f t="shared" si="17"/>
        <v>#VALUE!</v>
      </c>
    </row>
    <row r="84" spans="1:18" ht="15" customHeight="1" x14ac:dyDescent="0.25">
      <c r="A84" s="19" t="s">
        <v>188</v>
      </c>
      <c r="B84" s="19" t="s">
        <v>189</v>
      </c>
      <c r="C84" s="19" t="s">
        <v>14</v>
      </c>
      <c r="D84" s="19" t="s">
        <v>35</v>
      </c>
      <c r="E84" s="19" t="s">
        <v>232</v>
      </c>
      <c r="F84" s="19" t="s">
        <v>232</v>
      </c>
      <c r="G84" s="19" t="e">
        <f t="shared" si="10"/>
        <v>#VALUE!</v>
      </c>
      <c r="H84" s="37">
        <f t="shared" si="11"/>
        <v>0</v>
      </c>
      <c r="I84" s="24">
        <v>1100000</v>
      </c>
      <c r="J84" s="24">
        <v>35000</v>
      </c>
      <c r="K84" s="24">
        <f t="shared" si="12"/>
        <v>65625</v>
      </c>
      <c r="L84" s="24" t="e">
        <f t="shared" si="13"/>
        <v>#VALUE!</v>
      </c>
      <c r="M84" s="36">
        <f t="shared" si="14"/>
        <v>0</v>
      </c>
      <c r="N84" s="24">
        <v>161012362.10944861</v>
      </c>
      <c r="O84" s="24">
        <f t="shared" si="15"/>
        <v>2415185431.6417294</v>
      </c>
      <c r="P84" s="23" t="e">
        <f t="shared" si="9"/>
        <v>#VALUE!</v>
      </c>
      <c r="Q84" s="23" t="e">
        <f t="shared" si="16"/>
        <v>#VALUE!</v>
      </c>
      <c r="R84" s="23" t="e">
        <f t="shared" si="17"/>
        <v>#VALUE!</v>
      </c>
    </row>
    <row r="85" spans="1:18" ht="15" customHeight="1" x14ac:dyDescent="0.25">
      <c r="A85" s="19" t="s">
        <v>190</v>
      </c>
      <c r="B85" s="19" t="s">
        <v>191</v>
      </c>
      <c r="C85" s="19" t="s">
        <v>40</v>
      </c>
      <c r="D85" s="19" t="s">
        <v>35</v>
      </c>
      <c r="E85" s="19" t="s">
        <v>232</v>
      </c>
      <c r="F85" s="19" t="s">
        <v>232</v>
      </c>
      <c r="G85" s="19" t="e">
        <f t="shared" si="10"/>
        <v>#VALUE!</v>
      </c>
      <c r="H85" s="37">
        <f t="shared" si="11"/>
        <v>0</v>
      </c>
      <c r="I85" s="24">
        <v>1100000</v>
      </c>
      <c r="J85" s="24">
        <v>35000</v>
      </c>
      <c r="K85" s="24">
        <f t="shared" si="12"/>
        <v>65625</v>
      </c>
      <c r="L85" s="24" t="e">
        <f t="shared" si="13"/>
        <v>#VALUE!</v>
      </c>
      <c r="M85" s="36">
        <f t="shared" si="14"/>
        <v>0</v>
      </c>
      <c r="N85" s="24">
        <v>717924436.29793561</v>
      </c>
      <c r="O85" s="24">
        <f t="shared" si="15"/>
        <v>10768866544.469034</v>
      </c>
      <c r="P85" s="23" t="e">
        <f t="shared" si="9"/>
        <v>#VALUE!</v>
      </c>
      <c r="Q85" s="23" t="e">
        <f t="shared" si="16"/>
        <v>#VALUE!</v>
      </c>
      <c r="R85" s="23" t="e">
        <f t="shared" si="17"/>
        <v>#VALUE!</v>
      </c>
    </row>
    <row r="86" spans="1:18" ht="15" customHeight="1" x14ac:dyDescent="0.25">
      <c r="A86" s="19" t="s">
        <v>192</v>
      </c>
      <c r="B86" s="19" t="s">
        <v>193</v>
      </c>
      <c r="C86" s="19" t="s">
        <v>29</v>
      </c>
      <c r="D86" s="19" t="s">
        <v>26</v>
      </c>
      <c r="E86" s="19">
        <v>2076</v>
      </c>
      <c r="F86" s="21">
        <v>100</v>
      </c>
      <c r="G86" s="19">
        <f t="shared" si="10"/>
        <v>0</v>
      </c>
      <c r="H86" s="37">
        <f t="shared" si="11"/>
        <v>0</v>
      </c>
      <c r="I86" s="24" t="s">
        <v>232</v>
      </c>
      <c r="J86" s="24" t="s">
        <v>232</v>
      </c>
      <c r="K86" s="24" t="e">
        <f t="shared" si="12"/>
        <v>#VALUE!</v>
      </c>
      <c r="L86" s="24" t="e">
        <f t="shared" si="13"/>
        <v>#VALUE!</v>
      </c>
      <c r="M86" s="36">
        <f t="shared" si="14"/>
        <v>0</v>
      </c>
      <c r="N86" s="24">
        <v>3134453.5797919827</v>
      </c>
      <c r="O86" s="24">
        <f t="shared" si="15"/>
        <v>47016803.696879737</v>
      </c>
      <c r="P86" s="23" t="e">
        <f t="shared" si="9"/>
        <v>#VALUE!</v>
      </c>
      <c r="Q86" s="23" t="e">
        <f t="shared" si="16"/>
        <v>#VALUE!</v>
      </c>
      <c r="R86" s="23" t="e">
        <f t="shared" si="17"/>
        <v>#VALUE!</v>
      </c>
    </row>
    <row r="87" spans="1:18" ht="15" customHeight="1" x14ac:dyDescent="0.25">
      <c r="A87" s="19" t="s">
        <v>194</v>
      </c>
      <c r="B87" s="19" t="s">
        <v>195</v>
      </c>
      <c r="C87" s="19" t="s">
        <v>18</v>
      </c>
      <c r="D87" s="19" t="s">
        <v>19</v>
      </c>
      <c r="E87" s="19">
        <v>199567</v>
      </c>
      <c r="F87" s="21">
        <v>38.123537458597902</v>
      </c>
      <c r="G87" s="19">
        <f t="shared" si="10"/>
        <v>123484.99999999993</v>
      </c>
      <c r="H87" s="37">
        <f t="shared" si="11"/>
        <v>123484.99999999993</v>
      </c>
      <c r="I87" s="24">
        <v>1100000</v>
      </c>
      <c r="J87" s="24">
        <v>33000</v>
      </c>
      <c r="K87" s="24">
        <f t="shared" si="12"/>
        <v>61875</v>
      </c>
      <c r="L87" s="24">
        <f t="shared" si="13"/>
        <v>143474134374.99991</v>
      </c>
      <c r="M87" s="36">
        <f t="shared" si="14"/>
        <v>143474134374.99991</v>
      </c>
      <c r="N87" s="24">
        <v>1095685098.3472166</v>
      </c>
      <c r="O87" s="24">
        <f t="shared" si="15"/>
        <v>16435276475.208248</v>
      </c>
      <c r="P87" s="23">
        <f t="shared" si="9"/>
        <v>8.7296453206262221</v>
      </c>
      <c r="Q87" s="23">
        <f t="shared" si="16"/>
        <v>2.9098817735420743</v>
      </c>
      <c r="R87" s="23">
        <f t="shared" si="17"/>
        <v>26.188935961878666</v>
      </c>
    </row>
    <row r="88" spans="1:18" s="31" customFormat="1" ht="15" customHeight="1" x14ac:dyDescent="0.25">
      <c r="A88" s="31" t="s">
        <v>196</v>
      </c>
      <c r="B88" s="31" t="s">
        <v>197</v>
      </c>
      <c r="C88" s="31" t="s">
        <v>45</v>
      </c>
      <c r="D88" s="31" t="s">
        <v>19</v>
      </c>
      <c r="E88" s="31">
        <v>12862</v>
      </c>
      <c r="F88" s="27">
        <v>39.869382677655103</v>
      </c>
      <c r="G88" s="19">
        <f t="shared" si="10"/>
        <v>7734.0000000000018</v>
      </c>
      <c r="H88" s="37">
        <f t="shared" si="11"/>
        <v>7734.0000000000018</v>
      </c>
      <c r="I88" s="24" t="s">
        <v>232</v>
      </c>
      <c r="J88" s="24" t="s">
        <v>232</v>
      </c>
      <c r="K88" s="24" t="e">
        <f t="shared" si="12"/>
        <v>#VALUE!</v>
      </c>
      <c r="L88" s="24" t="e">
        <f t="shared" si="13"/>
        <v>#VALUE!</v>
      </c>
      <c r="M88" s="36">
        <f t="shared" si="14"/>
        <v>0</v>
      </c>
      <c r="N88" s="30">
        <v>0</v>
      </c>
      <c r="O88" s="24">
        <f t="shared" si="15"/>
        <v>0</v>
      </c>
      <c r="P88" s="23" t="e">
        <f t="shared" si="9"/>
        <v>#VALUE!</v>
      </c>
      <c r="Q88" s="23" t="e">
        <f t="shared" si="16"/>
        <v>#VALUE!</v>
      </c>
      <c r="R88" s="23" t="e">
        <f t="shared" si="17"/>
        <v>#VALUE!</v>
      </c>
    </row>
    <row r="89" spans="1:18" ht="15" customHeight="1" x14ac:dyDescent="0.25">
      <c r="A89" s="19" t="s">
        <v>198</v>
      </c>
      <c r="B89" s="19" t="s">
        <v>199</v>
      </c>
      <c r="C89" s="19" t="s">
        <v>40</v>
      </c>
      <c r="D89" s="19" t="s">
        <v>15</v>
      </c>
      <c r="E89" s="19">
        <v>4582439</v>
      </c>
      <c r="F89" s="21">
        <v>53.09</v>
      </c>
      <c r="G89" s="19">
        <f t="shared" si="10"/>
        <v>2149622.1348999999</v>
      </c>
      <c r="H89" s="37">
        <f t="shared" si="11"/>
        <v>2149622.1348999999</v>
      </c>
      <c r="I89" s="24">
        <v>1000000</v>
      </c>
      <c r="J89" s="24">
        <v>30000</v>
      </c>
      <c r="K89" s="24">
        <f t="shared" si="12"/>
        <v>56250</v>
      </c>
      <c r="L89" s="24">
        <f t="shared" si="13"/>
        <v>2270538379988.125</v>
      </c>
      <c r="M89" s="36">
        <f t="shared" si="14"/>
        <v>2270538379988.125</v>
      </c>
      <c r="N89" s="24">
        <v>106120979971.95012</v>
      </c>
      <c r="O89" s="24">
        <f t="shared" si="15"/>
        <v>1591814699579.2517</v>
      </c>
      <c r="P89" s="23">
        <f t="shared" si="9"/>
        <v>1.426383598912784</v>
      </c>
      <c r="Q89" s="23">
        <f t="shared" si="16"/>
        <v>0.47546119963759464</v>
      </c>
      <c r="R89" s="23">
        <f t="shared" si="17"/>
        <v>4.2791507967383522</v>
      </c>
    </row>
    <row r="90" spans="1:18" ht="15" customHeight="1" x14ac:dyDescent="0.25">
      <c r="A90" s="19" t="s">
        <v>200</v>
      </c>
      <c r="B90" s="19" t="s">
        <v>201</v>
      </c>
      <c r="C90" s="19" t="s">
        <v>40</v>
      </c>
      <c r="D90" s="19" t="s">
        <v>26</v>
      </c>
      <c r="E90" s="19">
        <v>487314</v>
      </c>
      <c r="F90" s="21">
        <v>56.997131213139802</v>
      </c>
      <c r="G90" s="19">
        <f t="shared" si="10"/>
        <v>209558.99999999988</v>
      </c>
      <c r="H90" s="37">
        <f t="shared" si="11"/>
        <v>209558.99999999988</v>
      </c>
      <c r="I90" s="24">
        <v>1100000</v>
      </c>
      <c r="J90" s="24">
        <v>33000</v>
      </c>
      <c r="K90" s="24">
        <f t="shared" si="12"/>
        <v>61875</v>
      </c>
      <c r="L90" s="24">
        <f t="shared" si="13"/>
        <v>243481363124.99988</v>
      </c>
      <c r="M90" s="36">
        <f t="shared" si="14"/>
        <v>243481363124.99988</v>
      </c>
      <c r="N90" s="24">
        <v>59899197819.567902</v>
      </c>
      <c r="O90" s="24">
        <f t="shared" si="15"/>
        <v>898487967293.51855</v>
      </c>
      <c r="P90" s="23">
        <f t="shared" si="9"/>
        <v>0.27099012116815502</v>
      </c>
      <c r="Q90" s="23">
        <f t="shared" si="16"/>
        <v>9.0330040389384997E-2</v>
      </c>
      <c r="R90" s="23">
        <f t="shared" si="17"/>
        <v>0.81297036350446494</v>
      </c>
    </row>
    <row r="91" spans="1:18" ht="15" customHeight="1" x14ac:dyDescent="0.25">
      <c r="A91" s="19" t="s">
        <v>202</v>
      </c>
      <c r="B91" s="19" t="s">
        <v>203</v>
      </c>
      <c r="C91" s="19" t="s">
        <v>18</v>
      </c>
      <c r="D91" s="19" t="s">
        <v>22</v>
      </c>
      <c r="E91" s="19">
        <v>198866</v>
      </c>
      <c r="F91" s="21">
        <v>80.644252914022502</v>
      </c>
      <c r="G91" s="19">
        <f t="shared" si="10"/>
        <v>38492</v>
      </c>
      <c r="H91" s="37">
        <f t="shared" si="11"/>
        <v>38492</v>
      </c>
      <c r="I91" s="24">
        <v>1000000</v>
      </c>
      <c r="J91" s="24">
        <v>30000</v>
      </c>
      <c r="K91" s="24">
        <f t="shared" si="12"/>
        <v>56250</v>
      </c>
      <c r="L91" s="24">
        <f t="shared" si="13"/>
        <v>40657175000</v>
      </c>
      <c r="M91" s="36">
        <f t="shared" si="14"/>
        <v>40657175000</v>
      </c>
      <c r="N91" s="24">
        <v>130357567150.05748</v>
      </c>
      <c r="O91" s="24">
        <f t="shared" si="15"/>
        <v>1955363507250.8623</v>
      </c>
      <c r="P91" s="23">
        <f t="shared" si="9"/>
        <v>2.0792642825354677E-2</v>
      </c>
      <c r="Q91" s="23">
        <f t="shared" si="16"/>
        <v>6.9308809417848926E-3</v>
      </c>
      <c r="R91" s="23">
        <f t="shared" si="17"/>
        <v>6.2377928476064028E-2</v>
      </c>
    </row>
    <row r="92" spans="1:18" ht="15" customHeight="1" x14ac:dyDescent="0.25">
      <c r="A92" s="19" t="s">
        <v>204</v>
      </c>
      <c r="B92" s="19" t="s">
        <v>205</v>
      </c>
      <c r="C92" s="19" t="s">
        <v>18</v>
      </c>
      <c r="D92" s="19" t="s">
        <v>22</v>
      </c>
      <c r="E92" s="19">
        <v>41716.199999999997</v>
      </c>
      <c r="F92" s="19" t="s">
        <v>232</v>
      </c>
      <c r="G92" s="19" t="e">
        <f t="shared" si="10"/>
        <v>#VALUE!</v>
      </c>
      <c r="H92" s="37">
        <f t="shared" si="11"/>
        <v>0</v>
      </c>
      <c r="I92" s="24">
        <v>1000000</v>
      </c>
      <c r="J92" s="24">
        <v>30000</v>
      </c>
      <c r="K92" s="24">
        <f t="shared" si="12"/>
        <v>56250</v>
      </c>
      <c r="L92" s="24" t="e">
        <f t="shared" si="13"/>
        <v>#VALUE!</v>
      </c>
      <c r="M92" s="36">
        <f t="shared" si="14"/>
        <v>0</v>
      </c>
      <c r="N92" s="24">
        <v>60551177603.513367</v>
      </c>
      <c r="O92" s="24">
        <f t="shared" si="15"/>
        <v>908267664052.70044</v>
      </c>
      <c r="P92" s="23" t="e">
        <f t="shared" si="9"/>
        <v>#VALUE!</v>
      </c>
      <c r="Q92" s="23" t="e">
        <f t="shared" si="16"/>
        <v>#VALUE!</v>
      </c>
      <c r="R92" s="23" t="e">
        <f t="shared" si="17"/>
        <v>#VALUE!</v>
      </c>
    </row>
    <row r="93" spans="1:18" ht="15" customHeight="1" x14ac:dyDescent="0.25">
      <c r="A93" s="19" t="s">
        <v>206</v>
      </c>
      <c r="B93" s="19" t="s">
        <v>207</v>
      </c>
      <c r="C93" s="19" t="s">
        <v>45</v>
      </c>
      <c r="D93" s="19" t="s">
        <v>19</v>
      </c>
      <c r="E93" s="19">
        <v>96002</v>
      </c>
      <c r="F93" s="21">
        <v>100</v>
      </c>
      <c r="G93" s="19">
        <f t="shared" si="10"/>
        <v>0</v>
      </c>
      <c r="H93" s="37">
        <f t="shared" si="11"/>
        <v>0</v>
      </c>
      <c r="I93" s="24" t="s">
        <v>232</v>
      </c>
      <c r="J93" s="24" t="s">
        <v>232</v>
      </c>
      <c r="K93" s="24" t="e">
        <f t="shared" si="12"/>
        <v>#VALUE!</v>
      </c>
      <c r="L93" s="24" t="e">
        <f t="shared" si="13"/>
        <v>#VALUE!</v>
      </c>
      <c r="M93" s="36">
        <f t="shared" si="14"/>
        <v>0</v>
      </c>
      <c r="N93" s="24">
        <v>414476099.13160717</v>
      </c>
      <c r="O93" s="24">
        <f t="shared" si="15"/>
        <v>6217141486.9741077</v>
      </c>
      <c r="P93" s="23" t="e">
        <f t="shared" si="9"/>
        <v>#VALUE!</v>
      </c>
      <c r="Q93" s="23" t="e">
        <f t="shared" si="16"/>
        <v>#VALUE!</v>
      </c>
      <c r="R93" s="23" t="e">
        <f t="shared" si="17"/>
        <v>#VALUE!</v>
      </c>
    </row>
    <row r="94" spans="1:18" ht="15" customHeight="1" x14ac:dyDescent="0.25">
      <c r="A94" s="19" t="s">
        <v>208</v>
      </c>
      <c r="B94" s="19" t="s">
        <v>209</v>
      </c>
      <c r="C94" s="19" t="s">
        <v>29</v>
      </c>
      <c r="D94" s="19" t="s">
        <v>19</v>
      </c>
      <c r="E94" s="19" t="s">
        <v>232</v>
      </c>
      <c r="F94" s="19" t="s">
        <v>232</v>
      </c>
      <c r="G94" s="19" t="e">
        <f t="shared" si="10"/>
        <v>#VALUE!</v>
      </c>
      <c r="H94" s="37">
        <f t="shared" si="11"/>
        <v>0</v>
      </c>
      <c r="I94" s="24" t="s">
        <v>232</v>
      </c>
      <c r="J94" s="24" t="s">
        <v>232</v>
      </c>
      <c r="K94" s="24" t="e">
        <f t="shared" si="12"/>
        <v>#VALUE!</v>
      </c>
      <c r="L94" s="24" t="e">
        <f t="shared" si="13"/>
        <v>#VALUE!</v>
      </c>
      <c r="M94" s="36">
        <f t="shared" si="14"/>
        <v>0</v>
      </c>
      <c r="N94" s="24" t="s">
        <v>232</v>
      </c>
      <c r="O94" s="24" t="e">
        <f t="shared" si="15"/>
        <v>#VALUE!</v>
      </c>
      <c r="P94" s="23" t="e">
        <f t="shared" si="9"/>
        <v>#VALUE!</v>
      </c>
      <c r="Q94" s="23" t="e">
        <f t="shared" si="16"/>
        <v>#VALUE!</v>
      </c>
      <c r="R94" s="23" t="e">
        <f t="shared" si="17"/>
        <v>#VALUE!</v>
      </c>
    </row>
    <row r="95" spans="1:18" ht="15" customHeight="1" x14ac:dyDescent="0.25">
      <c r="A95" s="19" t="s">
        <v>210</v>
      </c>
      <c r="B95" s="19" t="s">
        <v>211</v>
      </c>
      <c r="C95" s="19" t="s">
        <v>45</v>
      </c>
      <c r="D95" s="19" t="s">
        <v>22</v>
      </c>
      <c r="E95" s="19">
        <v>18482</v>
      </c>
      <c r="F95" s="21">
        <v>100</v>
      </c>
      <c r="G95" s="19">
        <f t="shared" si="10"/>
        <v>0</v>
      </c>
      <c r="H95" s="37">
        <f t="shared" si="11"/>
        <v>0</v>
      </c>
      <c r="I95" s="24">
        <v>1000000</v>
      </c>
      <c r="J95" s="24">
        <v>30000</v>
      </c>
      <c r="K95" s="24">
        <f t="shared" si="12"/>
        <v>56250</v>
      </c>
      <c r="L95" s="24">
        <f t="shared" si="13"/>
        <v>0</v>
      </c>
      <c r="M95" s="36">
        <f t="shared" si="14"/>
        <v>0</v>
      </c>
      <c r="N95" s="24">
        <v>683998780.19966102</v>
      </c>
      <c r="O95" s="24">
        <f t="shared" si="15"/>
        <v>10259981702.994915</v>
      </c>
      <c r="P95" s="23">
        <f t="shared" si="9"/>
        <v>0</v>
      </c>
      <c r="Q95" s="23">
        <f t="shared" si="16"/>
        <v>0</v>
      </c>
      <c r="R95" s="23">
        <f t="shared" si="17"/>
        <v>0</v>
      </c>
    </row>
    <row r="96" spans="1:18" ht="15" customHeight="1" x14ac:dyDescent="0.25">
      <c r="A96" s="19" t="s">
        <v>212</v>
      </c>
      <c r="B96" s="19" t="s">
        <v>213</v>
      </c>
      <c r="C96" s="19" t="s">
        <v>45</v>
      </c>
      <c r="D96" s="19" t="s">
        <v>19</v>
      </c>
      <c r="E96" s="19" t="s">
        <v>232</v>
      </c>
      <c r="F96" s="19" t="s">
        <v>232</v>
      </c>
      <c r="G96" s="19" t="e">
        <f t="shared" si="10"/>
        <v>#VALUE!</v>
      </c>
      <c r="H96" s="37">
        <f t="shared" si="11"/>
        <v>0</v>
      </c>
      <c r="I96" s="24" t="s">
        <v>232</v>
      </c>
      <c r="J96" s="24" t="s">
        <v>232</v>
      </c>
      <c r="K96" s="24" t="e">
        <f t="shared" si="12"/>
        <v>#VALUE!</v>
      </c>
      <c r="L96" s="24" t="e">
        <f t="shared" si="13"/>
        <v>#VALUE!</v>
      </c>
      <c r="M96" s="36">
        <f t="shared" si="14"/>
        <v>0</v>
      </c>
      <c r="N96" s="24">
        <v>3978955289.0601716</v>
      </c>
      <c r="O96" s="24">
        <f t="shared" si="15"/>
        <v>59684329335.902573</v>
      </c>
      <c r="P96" s="23" t="e">
        <f t="shared" si="9"/>
        <v>#VALUE!</v>
      </c>
      <c r="Q96" s="23" t="e">
        <f t="shared" si="16"/>
        <v>#VALUE!</v>
      </c>
      <c r="R96" s="23" t="e">
        <f t="shared" si="17"/>
        <v>#VALUE!</v>
      </c>
    </row>
    <row r="97" spans="1:18" ht="15" customHeight="1" x14ac:dyDescent="0.25">
      <c r="A97" s="19" t="s">
        <v>214</v>
      </c>
      <c r="B97" s="19" t="s">
        <v>215</v>
      </c>
      <c r="C97" s="19" t="s">
        <v>18</v>
      </c>
      <c r="D97" s="19" t="s">
        <v>35</v>
      </c>
      <c r="E97" s="19">
        <v>22121</v>
      </c>
      <c r="F97" s="19" t="s">
        <v>232</v>
      </c>
      <c r="G97" s="19" t="e">
        <f t="shared" si="10"/>
        <v>#VALUE!</v>
      </c>
      <c r="H97" s="37">
        <f t="shared" si="11"/>
        <v>0</v>
      </c>
      <c r="I97" s="24">
        <v>1100000</v>
      </c>
      <c r="J97" s="24">
        <v>35000</v>
      </c>
      <c r="K97" s="24">
        <f t="shared" si="12"/>
        <v>65625</v>
      </c>
      <c r="L97" s="24" t="e">
        <f t="shared" si="13"/>
        <v>#VALUE!</v>
      </c>
      <c r="M97" s="36">
        <f t="shared" si="14"/>
        <v>0</v>
      </c>
      <c r="N97" s="24">
        <v>244066186.95842627</v>
      </c>
      <c r="O97" s="24">
        <f t="shared" si="15"/>
        <v>3660992804.3763938</v>
      </c>
      <c r="P97" s="23" t="e">
        <f t="shared" si="9"/>
        <v>#VALUE!</v>
      </c>
      <c r="Q97" s="23" t="e">
        <f t="shared" si="16"/>
        <v>#VALUE!</v>
      </c>
      <c r="R97" s="23" t="e">
        <f t="shared" si="17"/>
        <v>#VALUE!</v>
      </c>
    </row>
    <row r="98" spans="1:18" ht="15" customHeight="1" x14ac:dyDescent="0.25">
      <c r="A98" s="19" t="s">
        <v>216</v>
      </c>
      <c r="B98" s="19" t="s">
        <v>217</v>
      </c>
      <c r="C98" s="19" t="s">
        <v>45</v>
      </c>
      <c r="D98" s="19" t="s">
        <v>26</v>
      </c>
      <c r="E98" s="19">
        <v>336578</v>
      </c>
      <c r="F98" s="19" t="s">
        <v>232</v>
      </c>
      <c r="G98" s="19" t="e">
        <f t="shared" si="10"/>
        <v>#VALUE!</v>
      </c>
      <c r="H98" s="37">
        <f t="shared" si="11"/>
        <v>0</v>
      </c>
      <c r="I98" s="24">
        <v>1300000</v>
      </c>
      <c r="J98" s="24">
        <v>40000</v>
      </c>
      <c r="K98" s="24">
        <f t="shared" si="12"/>
        <v>75000</v>
      </c>
      <c r="L98" s="24" t="e">
        <f t="shared" si="13"/>
        <v>#VALUE!</v>
      </c>
      <c r="M98" s="36">
        <f t="shared" si="14"/>
        <v>0</v>
      </c>
      <c r="N98" s="24">
        <v>1629780081.2566016</v>
      </c>
      <c r="O98" s="24">
        <f t="shared" si="15"/>
        <v>24446701218.849022</v>
      </c>
      <c r="P98" s="23" t="e">
        <f t="shared" si="9"/>
        <v>#VALUE!</v>
      </c>
      <c r="Q98" s="23" t="e">
        <f t="shared" si="16"/>
        <v>#VALUE!</v>
      </c>
      <c r="R98" s="23" t="e">
        <f t="shared" si="17"/>
        <v>#VALUE!</v>
      </c>
    </row>
    <row r="99" spans="1:18" ht="15" customHeight="1" x14ac:dyDescent="0.25">
      <c r="A99" s="19" t="s">
        <v>218</v>
      </c>
      <c r="B99" s="19" t="s">
        <v>219</v>
      </c>
      <c r="C99" s="19" t="s">
        <v>18</v>
      </c>
      <c r="D99" s="19" t="s">
        <v>22</v>
      </c>
      <c r="E99" s="19">
        <v>7100</v>
      </c>
      <c r="F99" s="21">
        <v>100</v>
      </c>
      <c r="G99" s="19">
        <f t="shared" si="10"/>
        <v>0</v>
      </c>
      <c r="H99" s="37">
        <f t="shared" si="11"/>
        <v>0</v>
      </c>
      <c r="I99" s="24">
        <v>1000000</v>
      </c>
      <c r="J99" s="24">
        <v>30000</v>
      </c>
      <c r="K99" s="24">
        <f t="shared" si="12"/>
        <v>56250</v>
      </c>
      <c r="L99" s="24">
        <f t="shared" si="13"/>
        <v>0</v>
      </c>
      <c r="M99" s="36">
        <f t="shared" si="14"/>
        <v>0</v>
      </c>
      <c r="N99" s="24">
        <v>479904568.92910677</v>
      </c>
      <c r="O99" s="24">
        <f t="shared" si="15"/>
        <v>7198568533.9366016</v>
      </c>
      <c r="P99" s="23">
        <f t="shared" si="9"/>
        <v>0</v>
      </c>
      <c r="Q99" s="23">
        <f t="shared" si="16"/>
        <v>0</v>
      </c>
      <c r="R99" s="23">
        <f t="shared" si="17"/>
        <v>0</v>
      </c>
    </row>
    <row r="100" spans="1:18" ht="15" customHeight="1" x14ac:dyDescent="0.25">
      <c r="A100" s="19" t="s">
        <v>220</v>
      </c>
      <c r="B100" s="19" t="s">
        <v>221</v>
      </c>
      <c r="C100" s="19" t="s">
        <v>18</v>
      </c>
      <c r="D100" s="19" t="s">
        <v>19</v>
      </c>
      <c r="E100" s="19">
        <v>96018</v>
      </c>
      <c r="F100" s="21">
        <v>89.525922222916506</v>
      </c>
      <c r="G100" s="19">
        <f t="shared" si="10"/>
        <v>10057.000000000025</v>
      </c>
      <c r="H100" s="37">
        <f t="shared" si="11"/>
        <v>10057.000000000025</v>
      </c>
      <c r="I100" s="24">
        <v>1100000</v>
      </c>
      <c r="J100" s="24">
        <v>33000</v>
      </c>
      <c r="K100" s="24">
        <f t="shared" si="12"/>
        <v>61875</v>
      </c>
      <c r="L100" s="24">
        <f t="shared" si="13"/>
        <v>11684976875.000031</v>
      </c>
      <c r="M100" s="36">
        <f t="shared" si="14"/>
        <v>11684976875.000031</v>
      </c>
      <c r="N100" s="24">
        <v>52080674870.849876</v>
      </c>
      <c r="O100" s="24">
        <f t="shared" si="15"/>
        <v>781210123062.74817</v>
      </c>
      <c r="P100" s="23">
        <f t="shared" si="9"/>
        <v>1.4957533869618678E-2</v>
      </c>
      <c r="Q100" s="23">
        <f t="shared" si="16"/>
        <v>4.985844623206225E-3</v>
      </c>
      <c r="R100" s="23">
        <f t="shared" si="17"/>
        <v>4.4872601608856033E-2</v>
      </c>
    </row>
    <row r="101" spans="1:18" ht="15" customHeight="1" x14ac:dyDescent="0.25">
      <c r="A101" s="19" t="s">
        <v>222</v>
      </c>
      <c r="B101" s="19" t="s">
        <v>223</v>
      </c>
      <c r="C101" s="19" t="s">
        <v>14</v>
      </c>
      <c r="D101" s="19" t="s">
        <v>32</v>
      </c>
      <c r="E101" s="19">
        <v>61947</v>
      </c>
      <c r="F101" s="21">
        <v>14.3332203335109</v>
      </c>
      <c r="G101" s="19">
        <f t="shared" si="10"/>
        <v>53068</v>
      </c>
      <c r="H101" s="37">
        <f t="shared" si="11"/>
        <v>53068</v>
      </c>
      <c r="I101" s="24">
        <v>1200000</v>
      </c>
      <c r="J101" s="24">
        <v>35000</v>
      </c>
      <c r="K101" s="24">
        <f t="shared" si="12"/>
        <v>65625</v>
      </c>
      <c r="L101" s="24">
        <f t="shared" si="13"/>
        <v>67164187500</v>
      </c>
      <c r="M101" s="36">
        <f t="shared" si="14"/>
        <v>67164187500</v>
      </c>
      <c r="N101" s="24">
        <v>1419333043.2990847</v>
      </c>
      <c r="O101" s="24">
        <f t="shared" si="15"/>
        <v>21289995649.486271</v>
      </c>
      <c r="P101" s="23">
        <f t="shared" si="9"/>
        <v>3.1547299776747808</v>
      </c>
      <c r="Q101" s="23">
        <f t="shared" si="16"/>
        <v>1.0515766592249267</v>
      </c>
      <c r="R101" s="23">
        <f t="shared" si="17"/>
        <v>9.4641899330243415</v>
      </c>
    </row>
    <row r="102" spans="1:18" ht="15" customHeight="1" x14ac:dyDescent="0.25">
      <c r="A102" s="19" t="s">
        <v>224</v>
      </c>
      <c r="B102" s="19" t="s">
        <v>225</v>
      </c>
      <c r="C102" s="19" t="s">
        <v>40</v>
      </c>
      <c r="D102" s="19" t="s">
        <v>26</v>
      </c>
      <c r="E102" s="19" t="s">
        <v>232</v>
      </c>
      <c r="F102" s="19" t="s">
        <v>232</v>
      </c>
      <c r="G102" s="19" t="e">
        <f t="shared" si="10"/>
        <v>#VALUE!</v>
      </c>
      <c r="H102" s="37">
        <f t="shared" si="11"/>
        <v>0</v>
      </c>
      <c r="I102" s="24" t="s">
        <v>232</v>
      </c>
      <c r="J102" s="24" t="s">
        <v>232</v>
      </c>
      <c r="K102" s="24" t="e">
        <f t="shared" si="12"/>
        <v>#VALUE!</v>
      </c>
      <c r="L102" s="24" t="e">
        <f t="shared" si="13"/>
        <v>#VALUE!</v>
      </c>
      <c r="M102" s="36">
        <f t="shared" si="14"/>
        <v>0</v>
      </c>
      <c r="N102" s="24">
        <v>147463.39816805688</v>
      </c>
      <c r="O102" s="24">
        <f t="shared" si="15"/>
        <v>2211950.9725208534</v>
      </c>
      <c r="P102" s="23" t="e">
        <f t="shared" si="9"/>
        <v>#VALUE!</v>
      </c>
      <c r="Q102" s="23" t="e">
        <f t="shared" si="16"/>
        <v>#VALUE!</v>
      </c>
      <c r="R102" s="23" t="e">
        <f t="shared" si="17"/>
        <v>#VALUE!</v>
      </c>
    </row>
    <row r="103" spans="1:18" ht="15" customHeight="1" x14ac:dyDescent="0.25">
      <c r="A103" s="19" t="s">
        <v>226</v>
      </c>
      <c r="B103" s="19" t="s">
        <v>227</v>
      </c>
      <c r="C103" s="19" t="s">
        <v>14</v>
      </c>
      <c r="D103" s="19" t="s">
        <v>26</v>
      </c>
      <c r="E103" s="19" t="s">
        <v>232</v>
      </c>
      <c r="F103" s="19" t="s">
        <v>232</v>
      </c>
      <c r="G103" s="19" t="e">
        <f t="shared" si="10"/>
        <v>#VALUE!</v>
      </c>
      <c r="H103" s="37">
        <f t="shared" si="11"/>
        <v>0</v>
      </c>
      <c r="I103" s="24">
        <v>1300000</v>
      </c>
      <c r="J103" s="24">
        <v>40000</v>
      </c>
      <c r="K103" s="24">
        <f t="shared" si="12"/>
        <v>75000</v>
      </c>
      <c r="L103" s="24" t="e">
        <f t="shared" si="13"/>
        <v>#VALUE!</v>
      </c>
      <c r="M103" s="36">
        <f t="shared" si="14"/>
        <v>0</v>
      </c>
      <c r="N103" s="24" t="s">
        <v>232</v>
      </c>
      <c r="O103" s="24" t="e">
        <f t="shared" si="15"/>
        <v>#VALUE!</v>
      </c>
      <c r="P103" s="23" t="e">
        <f t="shared" si="9"/>
        <v>#VALUE!</v>
      </c>
      <c r="Q103" s="23" t="e">
        <f t="shared" si="16"/>
        <v>#VALUE!</v>
      </c>
      <c r="R103" s="23" t="e">
        <f t="shared" si="17"/>
        <v>#VALUE!</v>
      </c>
    </row>
    <row r="104" spans="1:18" ht="15" customHeight="1" x14ac:dyDescent="0.25">
      <c r="A104" s="19" t="s">
        <v>228</v>
      </c>
      <c r="B104" s="19" t="s">
        <v>229</v>
      </c>
      <c r="C104" s="19" t="s">
        <v>45</v>
      </c>
      <c r="D104" s="19" t="s">
        <v>26</v>
      </c>
      <c r="E104" s="19">
        <v>105565</v>
      </c>
      <c r="F104" s="21">
        <v>79.766020934969006</v>
      </c>
      <c r="G104" s="19">
        <f t="shared" si="10"/>
        <v>21359.999999999967</v>
      </c>
      <c r="H104" s="37">
        <f t="shared" si="11"/>
        <v>21359.999999999967</v>
      </c>
      <c r="I104" s="24">
        <v>1300000</v>
      </c>
      <c r="J104" s="24">
        <v>40000</v>
      </c>
      <c r="K104" s="24">
        <f t="shared" si="12"/>
        <v>75000</v>
      </c>
      <c r="L104" s="24">
        <f t="shared" si="13"/>
        <v>29369999999.999954</v>
      </c>
      <c r="M104" s="36">
        <f t="shared" si="14"/>
        <v>29369999999.999954</v>
      </c>
      <c r="N104" s="24">
        <v>614733047.31301725</v>
      </c>
      <c r="O104" s="24">
        <f t="shared" si="15"/>
        <v>9220995709.6952591</v>
      </c>
      <c r="P104" s="23">
        <f t="shared" si="9"/>
        <v>3.1851224015991426</v>
      </c>
      <c r="Q104" s="23">
        <f t="shared" si="16"/>
        <v>1.0617074671997142</v>
      </c>
      <c r="R104" s="23">
        <f t="shared" si="17"/>
        <v>9.5553672047974274</v>
      </c>
    </row>
    <row r="105" spans="1:18" ht="15" customHeight="1" x14ac:dyDescent="0.25">
      <c r="A105" s="19" t="s">
        <v>230</v>
      </c>
      <c r="B105" s="19" t="s">
        <v>231</v>
      </c>
      <c r="C105" s="19" t="s">
        <v>40</v>
      </c>
      <c r="D105" s="19" t="s">
        <v>19</v>
      </c>
      <c r="E105" s="19">
        <v>6955</v>
      </c>
      <c r="F105" s="21">
        <v>26.024442846872802</v>
      </c>
      <c r="G105" s="19">
        <f t="shared" si="10"/>
        <v>5144.9999999999973</v>
      </c>
      <c r="H105" s="37">
        <f t="shared" si="11"/>
        <v>5144.9999999999973</v>
      </c>
      <c r="I105" s="24">
        <v>1100000</v>
      </c>
      <c r="J105" s="24">
        <v>33000</v>
      </c>
      <c r="K105" s="24">
        <f t="shared" si="12"/>
        <v>61875</v>
      </c>
      <c r="L105" s="24">
        <f t="shared" si="13"/>
        <v>5977846874.9999971</v>
      </c>
      <c r="M105" s="36">
        <f t="shared" si="14"/>
        <v>5977846874.9999971</v>
      </c>
      <c r="N105" s="24">
        <v>177423641.54793903</v>
      </c>
      <c r="O105" s="24">
        <f t="shared" si="15"/>
        <v>2661354623.2190857</v>
      </c>
      <c r="P105" s="23">
        <f t="shared" si="9"/>
        <v>2.2461669793442982</v>
      </c>
      <c r="Q105" s="23">
        <f t="shared" si="16"/>
        <v>0.74872232644809944</v>
      </c>
      <c r="R105" s="23">
        <f t="shared" si="17"/>
        <v>6.738500938032896</v>
      </c>
    </row>
    <row r="106" spans="1:18" ht="15" customHeight="1" x14ac:dyDescent="0.25">
      <c r="A106" s="19" t="s">
        <v>233</v>
      </c>
      <c r="B106" s="19" t="s">
        <v>234</v>
      </c>
      <c r="C106" s="19" t="s">
        <v>29</v>
      </c>
      <c r="D106" s="19" t="s">
        <v>22</v>
      </c>
      <c r="E106" s="19">
        <v>6609</v>
      </c>
      <c r="F106" s="19" t="s">
        <v>232</v>
      </c>
      <c r="G106" s="19" t="e">
        <f t="shared" si="10"/>
        <v>#VALUE!</v>
      </c>
      <c r="H106" s="37">
        <f t="shared" si="11"/>
        <v>0</v>
      </c>
      <c r="I106" s="24">
        <v>1000000</v>
      </c>
      <c r="J106" s="24">
        <v>30000</v>
      </c>
      <c r="K106" s="24">
        <f t="shared" si="12"/>
        <v>56250</v>
      </c>
      <c r="L106" s="24" t="e">
        <f t="shared" si="13"/>
        <v>#VALUE!</v>
      </c>
      <c r="M106" s="36">
        <f t="shared" si="14"/>
        <v>0</v>
      </c>
      <c r="N106" s="24">
        <v>62059401760.996567</v>
      </c>
      <c r="O106" s="24">
        <f t="shared" si="15"/>
        <v>930891026414.94849</v>
      </c>
      <c r="P106" s="23" t="e">
        <f t="shared" si="9"/>
        <v>#VALUE!</v>
      </c>
      <c r="Q106" s="23" t="e">
        <f t="shared" si="16"/>
        <v>#VALUE!</v>
      </c>
      <c r="R106" s="23" t="e">
        <f t="shared" si="17"/>
        <v>#VALUE!</v>
      </c>
    </row>
    <row r="107" spans="1:18" ht="15" customHeight="1" x14ac:dyDescent="0.25">
      <c r="A107" s="19" t="s">
        <v>235</v>
      </c>
      <c r="B107" s="19" t="s">
        <v>236</v>
      </c>
      <c r="C107" s="19" t="s">
        <v>14</v>
      </c>
      <c r="D107" s="19" t="s">
        <v>19</v>
      </c>
      <c r="E107" s="19" t="s">
        <v>232</v>
      </c>
      <c r="F107" s="19" t="s">
        <v>232</v>
      </c>
      <c r="G107" s="19" t="e">
        <f t="shared" si="10"/>
        <v>#VALUE!</v>
      </c>
      <c r="H107" s="37">
        <f t="shared" si="11"/>
        <v>0</v>
      </c>
      <c r="I107" s="24" t="s">
        <v>232</v>
      </c>
      <c r="J107" s="24" t="s">
        <v>232</v>
      </c>
      <c r="K107" s="24" t="e">
        <f t="shared" si="12"/>
        <v>#VALUE!</v>
      </c>
      <c r="L107" s="24" t="e">
        <f t="shared" si="13"/>
        <v>#VALUE!</v>
      </c>
      <c r="M107" s="36">
        <f t="shared" si="14"/>
        <v>0</v>
      </c>
      <c r="N107" s="24">
        <v>577303538.49183607</v>
      </c>
      <c r="O107" s="24">
        <f t="shared" si="15"/>
        <v>8659553077.3775406</v>
      </c>
      <c r="P107" s="23" t="e">
        <f t="shared" si="9"/>
        <v>#VALUE!</v>
      </c>
      <c r="Q107" s="23" t="e">
        <f t="shared" si="16"/>
        <v>#VALUE!</v>
      </c>
      <c r="R107" s="23" t="e">
        <f t="shared" si="17"/>
        <v>#VALUE!</v>
      </c>
    </row>
    <row r="108" spans="1:18" ht="15" customHeight="1" x14ac:dyDescent="0.25">
      <c r="A108" s="19" t="s">
        <v>237</v>
      </c>
      <c r="B108" s="19" t="s">
        <v>238</v>
      </c>
      <c r="C108" s="19" t="s">
        <v>40</v>
      </c>
      <c r="D108" s="19" t="s">
        <v>26</v>
      </c>
      <c r="E108" s="19">
        <v>47491</v>
      </c>
      <c r="F108" s="19" t="s">
        <v>232</v>
      </c>
      <c r="G108" s="19" t="e">
        <f t="shared" si="10"/>
        <v>#VALUE!</v>
      </c>
      <c r="H108" s="37">
        <f t="shared" si="11"/>
        <v>0</v>
      </c>
      <c r="I108" s="24">
        <v>1100000</v>
      </c>
      <c r="J108" s="24">
        <v>33000</v>
      </c>
      <c r="K108" s="24">
        <f t="shared" si="12"/>
        <v>61875</v>
      </c>
      <c r="L108" s="24" t="e">
        <f t="shared" si="13"/>
        <v>#VALUE!</v>
      </c>
      <c r="M108" s="36">
        <f t="shared" si="14"/>
        <v>0</v>
      </c>
      <c r="N108" s="24">
        <v>1331952550.8132415</v>
      </c>
      <c r="O108" s="24">
        <f t="shared" si="15"/>
        <v>19979288262.198624</v>
      </c>
      <c r="P108" s="23" t="e">
        <f t="shared" si="9"/>
        <v>#VALUE!</v>
      </c>
      <c r="Q108" s="23" t="e">
        <f t="shared" si="16"/>
        <v>#VALUE!</v>
      </c>
      <c r="R108" s="23" t="e">
        <f t="shared" si="17"/>
        <v>#VALUE!</v>
      </c>
    </row>
    <row r="109" spans="1:18" ht="15" customHeight="1" x14ac:dyDescent="0.25">
      <c r="A109" s="19" t="s">
        <v>239</v>
      </c>
      <c r="B109" s="19" t="s">
        <v>240</v>
      </c>
      <c r="C109" s="19" t="s">
        <v>29</v>
      </c>
      <c r="D109" s="19" t="s">
        <v>19</v>
      </c>
      <c r="E109" s="19">
        <v>69406</v>
      </c>
      <c r="F109" s="19" t="s">
        <v>232</v>
      </c>
      <c r="G109" s="19" t="e">
        <f t="shared" si="10"/>
        <v>#VALUE!</v>
      </c>
      <c r="H109" s="37">
        <f t="shared" si="11"/>
        <v>0</v>
      </c>
      <c r="I109" s="24">
        <v>1100000</v>
      </c>
      <c r="J109" s="24">
        <v>33000</v>
      </c>
      <c r="K109" s="24">
        <f t="shared" si="12"/>
        <v>61875</v>
      </c>
      <c r="L109" s="24" t="e">
        <f t="shared" si="13"/>
        <v>#VALUE!</v>
      </c>
      <c r="M109" s="36">
        <f t="shared" si="14"/>
        <v>0</v>
      </c>
      <c r="N109" s="24">
        <v>581674804.62426615</v>
      </c>
      <c r="O109" s="24">
        <f t="shared" si="15"/>
        <v>8725122069.3639927</v>
      </c>
      <c r="P109" s="23" t="e">
        <f t="shared" si="9"/>
        <v>#VALUE!</v>
      </c>
      <c r="Q109" s="23" t="e">
        <f t="shared" si="16"/>
        <v>#VALUE!</v>
      </c>
      <c r="R109" s="23" t="e">
        <f t="shared" si="17"/>
        <v>#VALUE!</v>
      </c>
    </row>
    <row r="110" spans="1:18" ht="15" customHeight="1" x14ac:dyDescent="0.25">
      <c r="A110" s="19" t="s">
        <v>241</v>
      </c>
      <c r="B110" s="19" t="s">
        <v>242</v>
      </c>
      <c r="C110" s="19" t="s">
        <v>18</v>
      </c>
      <c r="D110" s="19" t="s">
        <v>22</v>
      </c>
      <c r="E110" s="19" t="s">
        <v>232</v>
      </c>
      <c r="F110" s="19" t="s">
        <v>232</v>
      </c>
      <c r="G110" s="19" t="e">
        <f t="shared" si="10"/>
        <v>#VALUE!</v>
      </c>
      <c r="H110" s="37">
        <f t="shared" si="11"/>
        <v>0</v>
      </c>
      <c r="I110" s="24">
        <v>1000000</v>
      </c>
      <c r="J110" s="24">
        <v>30000</v>
      </c>
      <c r="K110" s="24">
        <f t="shared" si="12"/>
        <v>56250</v>
      </c>
      <c r="L110" s="24" t="e">
        <f t="shared" si="13"/>
        <v>#VALUE!</v>
      </c>
      <c r="M110" s="36">
        <f t="shared" si="14"/>
        <v>0</v>
      </c>
      <c r="N110" s="24">
        <v>1265644.42328598</v>
      </c>
      <c r="O110" s="24">
        <f t="shared" si="15"/>
        <v>18984666.3492897</v>
      </c>
      <c r="P110" s="23" t="e">
        <f t="shared" si="9"/>
        <v>#VALUE!</v>
      </c>
      <c r="Q110" s="23" t="e">
        <f t="shared" si="16"/>
        <v>#VALUE!</v>
      </c>
      <c r="R110" s="23" t="e">
        <f t="shared" si="17"/>
        <v>#VALUE!</v>
      </c>
    </row>
    <row r="111" spans="1:18" ht="15" customHeight="1" x14ac:dyDescent="0.25">
      <c r="A111" s="19" t="s">
        <v>243</v>
      </c>
      <c r="B111" s="19" t="s">
        <v>244</v>
      </c>
      <c r="C111" s="19" t="s">
        <v>40</v>
      </c>
      <c r="D111" s="19" t="s">
        <v>32</v>
      </c>
      <c r="E111" s="19" t="s">
        <v>232</v>
      </c>
      <c r="F111" s="19" t="s">
        <v>232</v>
      </c>
      <c r="G111" s="19" t="e">
        <f t="shared" si="10"/>
        <v>#VALUE!</v>
      </c>
      <c r="H111" s="37">
        <f t="shared" si="11"/>
        <v>0</v>
      </c>
      <c r="I111" s="24">
        <v>1200000</v>
      </c>
      <c r="J111" s="24">
        <v>35000</v>
      </c>
      <c r="K111" s="24">
        <f t="shared" si="12"/>
        <v>65625</v>
      </c>
      <c r="L111" s="24" t="e">
        <f t="shared" si="13"/>
        <v>#VALUE!</v>
      </c>
      <c r="M111" s="36">
        <f t="shared" si="14"/>
        <v>0</v>
      </c>
      <c r="N111" s="24">
        <v>103261507.33429362</v>
      </c>
      <c r="O111" s="24">
        <f t="shared" si="15"/>
        <v>1548922610.0144043</v>
      </c>
      <c r="P111" s="23" t="e">
        <f t="shared" si="9"/>
        <v>#VALUE!</v>
      </c>
      <c r="Q111" s="23" t="e">
        <f t="shared" si="16"/>
        <v>#VALUE!</v>
      </c>
      <c r="R111" s="23" t="e">
        <f t="shared" si="17"/>
        <v>#VALUE!</v>
      </c>
    </row>
    <row r="112" spans="1:18" ht="15" customHeight="1" x14ac:dyDescent="0.25">
      <c r="A112" s="19" t="s">
        <v>245</v>
      </c>
      <c r="B112" s="19" t="s">
        <v>246</v>
      </c>
      <c r="C112" s="19" t="s">
        <v>14</v>
      </c>
      <c r="D112" s="19" t="s">
        <v>32</v>
      </c>
      <c r="E112" s="19" t="s">
        <v>232</v>
      </c>
      <c r="F112" s="19" t="s">
        <v>232</v>
      </c>
      <c r="G112" s="19" t="e">
        <f t="shared" si="10"/>
        <v>#VALUE!</v>
      </c>
      <c r="H112" s="37">
        <f t="shared" si="11"/>
        <v>0</v>
      </c>
      <c r="I112" s="24">
        <v>1200000</v>
      </c>
      <c r="J112" s="24">
        <v>35000</v>
      </c>
      <c r="K112" s="24">
        <f t="shared" si="12"/>
        <v>65625</v>
      </c>
      <c r="L112" s="24" t="e">
        <f t="shared" si="13"/>
        <v>#VALUE!</v>
      </c>
      <c r="M112" s="36">
        <f t="shared" si="14"/>
        <v>0</v>
      </c>
      <c r="N112" s="24">
        <v>414154618.30642617</v>
      </c>
      <c r="O112" s="24">
        <f t="shared" si="15"/>
        <v>6212319274.5963926</v>
      </c>
      <c r="P112" s="23" t="e">
        <f t="shared" si="9"/>
        <v>#VALUE!</v>
      </c>
      <c r="Q112" s="23" t="e">
        <f t="shared" si="16"/>
        <v>#VALUE!</v>
      </c>
      <c r="R112" s="23" t="e">
        <f t="shared" si="17"/>
        <v>#VALUE!</v>
      </c>
    </row>
    <row r="113" spans="1:18" ht="15" customHeight="1" x14ac:dyDescent="0.25">
      <c r="A113" s="19" t="s">
        <v>247</v>
      </c>
      <c r="B113" s="19" t="s">
        <v>248</v>
      </c>
      <c r="C113" s="19" t="s">
        <v>18</v>
      </c>
      <c r="D113" s="19" t="s">
        <v>22</v>
      </c>
      <c r="E113" s="19" t="s">
        <v>232</v>
      </c>
      <c r="F113" s="19" t="s">
        <v>232</v>
      </c>
      <c r="G113" s="19" t="e">
        <f t="shared" si="10"/>
        <v>#VALUE!</v>
      </c>
      <c r="H113" s="37">
        <f t="shared" si="11"/>
        <v>0</v>
      </c>
      <c r="I113" s="24">
        <v>1000000</v>
      </c>
      <c r="J113" s="24">
        <v>30000</v>
      </c>
      <c r="K113" s="24">
        <f t="shared" si="12"/>
        <v>56250</v>
      </c>
      <c r="L113" s="24" t="e">
        <f t="shared" si="13"/>
        <v>#VALUE!</v>
      </c>
      <c r="M113" s="36">
        <f t="shared" si="14"/>
        <v>0</v>
      </c>
      <c r="N113" s="24" t="s">
        <v>232</v>
      </c>
      <c r="O113" s="24" t="e">
        <f t="shared" si="15"/>
        <v>#VALUE!</v>
      </c>
      <c r="P113" s="23" t="e">
        <f t="shared" si="9"/>
        <v>#VALUE!</v>
      </c>
      <c r="Q113" s="23" t="e">
        <f t="shared" si="16"/>
        <v>#VALUE!</v>
      </c>
      <c r="R113" s="23" t="e">
        <f t="shared" si="17"/>
        <v>#VALUE!</v>
      </c>
    </row>
    <row r="114" spans="1:18" ht="15" customHeight="1" x14ac:dyDescent="0.25">
      <c r="A114" s="19" t="s">
        <v>249</v>
      </c>
      <c r="B114" s="19" t="s">
        <v>250</v>
      </c>
      <c r="C114" s="19" t="s">
        <v>29</v>
      </c>
      <c r="D114" s="19" t="s">
        <v>19</v>
      </c>
      <c r="E114" s="19" t="s">
        <v>232</v>
      </c>
      <c r="F114" s="19" t="s">
        <v>232</v>
      </c>
      <c r="G114" s="19" t="e">
        <f t="shared" si="10"/>
        <v>#VALUE!</v>
      </c>
      <c r="H114" s="37">
        <f t="shared" si="11"/>
        <v>0</v>
      </c>
      <c r="I114" s="24" t="s">
        <v>232</v>
      </c>
      <c r="J114" s="24" t="s">
        <v>232</v>
      </c>
      <c r="K114" s="24" t="e">
        <f t="shared" si="12"/>
        <v>#VALUE!</v>
      </c>
      <c r="L114" s="24" t="e">
        <f t="shared" si="13"/>
        <v>#VALUE!</v>
      </c>
      <c r="M114" s="36">
        <f t="shared" si="14"/>
        <v>0</v>
      </c>
      <c r="N114" s="24" t="s">
        <v>232</v>
      </c>
      <c r="O114" s="24" t="e">
        <f t="shared" si="15"/>
        <v>#VALUE!</v>
      </c>
      <c r="P114" s="23" t="e">
        <f t="shared" si="9"/>
        <v>#VALUE!</v>
      </c>
      <c r="Q114" s="23" t="e">
        <f t="shared" si="16"/>
        <v>#VALUE!</v>
      </c>
      <c r="R114" s="23" t="e">
        <f t="shared" si="17"/>
        <v>#VALUE!</v>
      </c>
    </row>
    <row r="115" spans="1:18" ht="15" customHeight="1" x14ac:dyDescent="0.25">
      <c r="A115" s="19" t="s">
        <v>251</v>
      </c>
      <c r="B115" s="19" t="s">
        <v>252</v>
      </c>
      <c r="C115" s="19" t="s">
        <v>29</v>
      </c>
      <c r="D115" s="19" t="s">
        <v>19</v>
      </c>
      <c r="E115" s="19">
        <v>82131</v>
      </c>
      <c r="F115" s="21">
        <v>39.535686119873802</v>
      </c>
      <c r="G115" s="19">
        <f t="shared" si="10"/>
        <v>49659.945632886447</v>
      </c>
      <c r="H115" s="37">
        <f t="shared" si="11"/>
        <v>49659.945632886447</v>
      </c>
      <c r="I115" s="24">
        <v>1100000</v>
      </c>
      <c r="J115" s="24">
        <v>33000</v>
      </c>
      <c r="K115" s="24">
        <f t="shared" si="12"/>
        <v>61875</v>
      </c>
      <c r="L115" s="24">
        <f t="shared" si="13"/>
        <v>57698649332.209938</v>
      </c>
      <c r="M115" s="36">
        <f t="shared" si="14"/>
        <v>57698649332.209938</v>
      </c>
      <c r="N115" s="24">
        <v>397630289.50000304</v>
      </c>
      <c r="O115" s="24">
        <f t="shared" si="15"/>
        <v>5964454342.5000458</v>
      </c>
      <c r="P115" s="23">
        <f t="shared" si="9"/>
        <v>9.6737515318165919</v>
      </c>
      <c r="Q115" s="23">
        <f t="shared" si="16"/>
        <v>3.2245838439388637</v>
      </c>
      <c r="R115" s="23">
        <f t="shared" si="17"/>
        <v>29.021254595449776</v>
      </c>
    </row>
    <row r="116" spans="1:18" ht="15" customHeight="1" x14ac:dyDescent="0.25">
      <c r="A116" s="19" t="s">
        <v>253</v>
      </c>
      <c r="B116" s="19" t="s">
        <v>254</v>
      </c>
      <c r="C116" s="19" t="s">
        <v>45</v>
      </c>
      <c r="D116" s="19" t="s">
        <v>19</v>
      </c>
      <c r="E116" s="19" t="s">
        <v>232</v>
      </c>
      <c r="F116" s="19" t="s">
        <v>232</v>
      </c>
      <c r="G116" s="19" t="e">
        <f t="shared" si="10"/>
        <v>#VALUE!</v>
      </c>
      <c r="H116" s="37">
        <f t="shared" si="11"/>
        <v>0</v>
      </c>
      <c r="I116" s="24" t="s">
        <v>232</v>
      </c>
      <c r="J116" s="24" t="s">
        <v>232</v>
      </c>
      <c r="K116" s="24" t="e">
        <f t="shared" si="12"/>
        <v>#VALUE!</v>
      </c>
      <c r="L116" s="24" t="e">
        <f t="shared" si="13"/>
        <v>#VALUE!</v>
      </c>
      <c r="M116" s="36">
        <f t="shared" si="14"/>
        <v>0</v>
      </c>
      <c r="N116" s="24">
        <v>58508352.210030153</v>
      </c>
      <c r="O116" s="24">
        <f t="shared" si="15"/>
        <v>877625283.15045226</v>
      </c>
      <c r="P116" s="23" t="e">
        <f t="shared" si="9"/>
        <v>#VALUE!</v>
      </c>
      <c r="Q116" s="23" t="e">
        <f t="shared" si="16"/>
        <v>#VALUE!</v>
      </c>
      <c r="R116" s="23" t="e">
        <f t="shared" si="17"/>
        <v>#VALUE!</v>
      </c>
    </row>
    <row r="117" spans="1:18" ht="15" customHeight="1" x14ac:dyDescent="0.25">
      <c r="A117" s="19" t="s">
        <v>255</v>
      </c>
      <c r="B117" s="19" t="s">
        <v>256</v>
      </c>
      <c r="C117" s="19" t="s">
        <v>29</v>
      </c>
      <c r="D117" s="19" t="s">
        <v>26</v>
      </c>
      <c r="E117" s="19">
        <v>413</v>
      </c>
      <c r="F117" s="21">
        <v>100</v>
      </c>
      <c r="G117" s="19">
        <f t="shared" si="10"/>
        <v>0</v>
      </c>
      <c r="H117" s="37">
        <f t="shared" si="11"/>
        <v>0</v>
      </c>
      <c r="I117" s="24" t="s">
        <v>232</v>
      </c>
      <c r="J117" s="24" t="s">
        <v>232</v>
      </c>
      <c r="K117" s="24" t="e">
        <f t="shared" si="12"/>
        <v>#VALUE!</v>
      </c>
      <c r="L117" s="24" t="e">
        <f t="shared" si="13"/>
        <v>#VALUE!</v>
      </c>
      <c r="M117" s="36">
        <f t="shared" si="14"/>
        <v>0</v>
      </c>
      <c r="N117" s="24">
        <v>278781.88696400158</v>
      </c>
      <c r="O117" s="24">
        <f t="shared" si="15"/>
        <v>4181728.3044600235</v>
      </c>
      <c r="P117" s="23" t="e">
        <f t="shared" si="9"/>
        <v>#VALUE!</v>
      </c>
      <c r="Q117" s="23" t="e">
        <f t="shared" si="16"/>
        <v>#VALUE!</v>
      </c>
      <c r="R117" s="23" t="e">
        <f t="shared" si="17"/>
        <v>#VALUE!</v>
      </c>
    </row>
    <row r="118" spans="1:18" ht="15" customHeight="1" x14ac:dyDescent="0.25">
      <c r="A118" s="19" t="s">
        <v>257</v>
      </c>
      <c r="B118" s="19" t="s">
        <v>258</v>
      </c>
      <c r="C118" s="19" t="s">
        <v>18</v>
      </c>
      <c r="D118" s="19" t="s">
        <v>19</v>
      </c>
      <c r="E118" s="19">
        <v>13934</v>
      </c>
      <c r="F118" s="21">
        <v>58.669441653509402</v>
      </c>
      <c r="G118" s="19">
        <f t="shared" si="10"/>
        <v>5759</v>
      </c>
      <c r="H118" s="37">
        <f t="shared" si="11"/>
        <v>5759</v>
      </c>
      <c r="I118" s="24">
        <v>1100000</v>
      </c>
      <c r="J118" s="24">
        <v>33000</v>
      </c>
      <c r="K118" s="24">
        <f t="shared" si="12"/>
        <v>61875</v>
      </c>
      <c r="L118" s="24">
        <f t="shared" si="13"/>
        <v>6691238125</v>
      </c>
      <c r="M118" s="36">
        <f t="shared" si="14"/>
        <v>6691238125</v>
      </c>
      <c r="N118" s="24">
        <v>424368475.62691891</v>
      </c>
      <c r="O118" s="24">
        <f t="shared" si="15"/>
        <v>6365527134.4037838</v>
      </c>
      <c r="P118" s="23">
        <f t="shared" si="9"/>
        <v>1.0511679525857089</v>
      </c>
      <c r="Q118" s="23">
        <f t="shared" si="16"/>
        <v>0.35038931752856967</v>
      </c>
      <c r="R118" s="23">
        <f t="shared" si="17"/>
        <v>3.1535038577571268</v>
      </c>
    </row>
    <row r="119" spans="1:18" ht="15" customHeight="1" x14ac:dyDescent="0.25">
      <c r="A119" s="19" t="s">
        <v>259</v>
      </c>
      <c r="B119" s="19" t="s">
        <v>260</v>
      </c>
      <c r="C119" s="19" t="s">
        <v>14</v>
      </c>
      <c r="D119" s="19" t="s">
        <v>32</v>
      </c>
      <c r="E119" s="19">
        <v>37476</v>
      </c>
      <c r="F119" s="21">
        <v>16.279752374853199</v>
      </c>
      <c r="G119" s="19">
        <f t="shared" si="10"/>
        <v>31375.000000000015</v>
      </c>
      <c r="H119" s="37">
        <f t="shared" si="11"/>
        <v>31375.000000000015</v>
      </c>
      <c r="I119" s="24">
        <v>1200000</v>
      </c>
      <c r="J119" s="24">
        <v>35000</v>
      </c>
      <c r="K119" s="24">
        <f t="shared" si="12"/>
        <v>65625</v>
      </c>
      <c r="L119" s="24">
        <f t="shared" si="13"/>
        <v>39708984375.000015</v>
      </c>
      <c r="M119" s="36">
        <f t="shared" si="14"/>
        <v>39708984375.000015</v>
      </c>
      <c r="N119" s="24">
        <v>692026009.85163426</v>
      </c>
      <c r="O119" s="24">
        <f t="shared" si="15"/>
        <v>10380390147.774513</v>
      </c>
      <c r="P119" s="23">
        <f t="shared" si="9"/>
        <v>3.825384577044376</v>
      </c>
      <c r="Q119" s="23">
        <f t="shared" si="16"/>
        <v>1.2751281923481255</v>
      </c>
      <c r="R119" s="23">
        <f t="shared" si="17"/>
        <v>11.476153731133129</v>
      </c>
    </row>
    <row r="120" spans="1:18" ht="15" customHeight="1" x14ac:dyDescent="0.25">
      <c r="A120" s="19" t="s">
        <v>261</v>
      </c>
      <c r="B120" s="19" t="s">
        <v>262</v>
      </c>
      <c r="C120" s="19" t="s">
        <v>14</v>
      </c>
      <c r="D120" s="19" t="s">
        <v>32</v>
      </c>
      <c r="E120" s="19" t="s">
        <v>232</v>
      </c>
      <c r="F120" s="19" t="s">
        <v>232</v>
      </c>
      <c r="G120" s="19" t="e">
        <f t="shared" si="10"/>
        <v>#VALUE!</v>
      </c>
      <c r="H120" s="37">
        <f t="shared" si="11"/>
        <v>0</v>
      </c>
      <c r="I120" s="24">
        <v>1200000</v>
      </c>
      <c r="J120" s="24">
        <v>35000</v>
      </c>
      <c r="K120" s="24">
        <f t="shared" si="12"/>
        <v>65625</v>
      </c>
      <c r="L120" s="24" t="e">
        <f t="shared" si="13"/>
        <v>#VALUE!</v>
      </c>
      <c r="M120" s="36">
        <f t="shared" si="14"/>
        <v>0</v>
      </c>
      <c r="N120" s="24">
        <v>403920728.59788555</v>
      </c>
      <c r="O120" s="24">
        <f t="shared" si="15"/>
        <v>6058810928.9682837</v>
      </c>
      <c r="P120" s="23" t="e">
        <f t="shared" si="9"/>
        <v>#VALUE!</v>
      </c>
      <c r="Q120" s="23" t="e">
        <f t="shared" si="16"/>
        <v>#VALUE!</v>
      </c>
      <c r="R120" s="23" t="e">
        <f t="shared" si="17"/>
        <v>#VALUE!</v>
      </c>
    </row>
    <row r="121" spans="1:18" ht="15" customHeight="1" x14ac:dyDescent="0.25">
      <c r="A121" s="19" t="s">
        <v>263</v>
      </c>
      <c r="B121" s="19" t="s">
        <v>264</v>
      </c>
      <c r="C121" s="19" t="s">
        <v>18</v>
      </c>
      <c r="D121" s="19" t="s">
        <v>26</v>
      </c>
      <c r="E121" s="19">
        <v>144403</v>
      </c>
      <c r="F121" s="21">
        <v>80.447774630721</v>
      </c>
      <c r="G121" s="19">
        <f t="shared" si="10"/>
        <v>28233.999999999949</v>
      </c>
      <c r="H121" s="37">
        <f t="shared" si="11"/>
        <v>28233.999999999949</v>
      </c>
      <c r="I121" s="24">
        <v>1100000</v>
      </c>
      <c r="J121" s="24">
        <v>33000</v>
      </c>
      <c r="K121" s="24">
        <f t="shared" si="12"/>
        <v>61875</v>
      </c>
      <c r="L121" s="24">
        <f t="shared" si="13"/>
        <v>32804378749.999939</v>
      </c>
      <c r="M121" s="36">
        <f t="shared" si="14"/>
        <v>32804378749.999939</v>
      </c>
      <c r="N121" s="24">
        <v>26660491900.712803</v>
      </c>
      <c r="O121" s="24">
        <f t="shared" si="15"/>
        <v>399907378510.69202</v>
      </c>
      <c r="P121" s="23">
        <f t="shared" si="9"/>
        <v>8.2029941213307409E-2</v>
      </c>
      <c r="Q121" s="23">
        <f t="shared" si="16"/>
        <v>2.7343313737769132E-2</v>
      </c>
      <c r="R121" s="23">
        <f t="shared" si="17"/>
        <v>0.24608982363992221</v>
      </c>
    </row>
    <row r="122" spans="1:18" ht="15" customHeight="1" x14ac:dyDescent="0.25">
      <c r="A122" s="19" t="s">
        <v>265</v>
      </c>
      <c r="B122" s="19" t="s">
        <v>266</v>
      </c>
      <c r="C122" s="19" t="s">
        <v>18</v>
      </c>
      <c r="D122" s="19" t="s">
        <v>15</v>
      </c>
      <c r="E122" s="19" t="s">
        <v>232</v>
      </c>
      <c r="F122" s="19" t="s">
        <v>232</v>
      </c>
      <c r="G122" s="19" t="e">
        <f t="shared" si="10"/>
        <v>#VALUE!</v>
      </c>
      <c r="H122" s="37">
        <f t="shared" si="11"/>
        <v>0</v>
      </c>
      <c r="I122" s="24" t="s">
        <v>232</v>
      </c>
      <c r="J122" s="24" t="s">
        <v>232</v>
      </c>
      <c r="K122" s="24" t="e">
        <f t="shared" si="12"/>
        <v>#VALUE!</v>
      </c>
      <c r="L122" s="24" t="e">
        <f t="shared" si="13"/>
        <v>#VALUE!</v>
      </c>
      <c r="M122" s="36">
        <f t="shared" si="14"/>
        <v>0</v>
      </c>
      <c r="N122" s="24">
        <v>1158905.3361817906</v>
      </c>
      <c r="O122" s="24">
        <f t="shared" si="15"/>
        <v>17383580.042726859</v>
      </c>
      <c r="P122" s="23" t="e">
        <f t="shared" si="9"/>
        <v>#VALUE!</v>
      </c>
      <c r="Q122" s="23" t="e">
        <f t="shared" si="16"/>
        <v>#VALUE!</v>
      </c>
      <c r="R122" s="23" t="e">
        <f t="shared" si="17"/>
        <v>#VALUE!</v>
      </c>
    </row>
    <row r="123" spans="1:18" ht="15" customHeight="1" x14ac:dyDescent="0.25">
      <c r="A123" s="19" t="s">
        <v>267</v>
      </c>
      <c r="B123" s="19" t="s">
        <v>268</v>
      </c>
      <c r="C123" s="19" t="s">
        <v>14</v>
      </c>
      <c r="D123" s="19" t="s">
        <v>32</v>
      </c>
      <c r="E123" s="19" t="s">
        <v>232</v>
      </c>
      <c r="F123" s="19" t="s">
        <v>232</v>
      </c>
      <c r="G123" s="19" t="e">
        <f t="shared" si="10"/>
        <v>#VALUE!</v>
      </c>
      <c r="H123" s="37">
        <f t="shared" si="11"/>
        <v>0</v>
      </c>
      <c r="I123" s="24">
        <v>1200000</v>
      </c>
      <c r="J123" s="24">
        <v>35000</v>
      </c>
      <c r="K123" s="24">
        <f t="shared" si="12"/>
        <v>65625</v>
      </c>
      <c r="L123" s="24" t="e">
        <f t="shared" si="13"/>
        <v>#VALUE!</v>
      </c>
      <c r="M123" s="36">
        <f t="shared" si="14"/>
        <v>0</v>
      </c>
      <c r="N123" s="24">
        <v>1347245165.1593575</v>
      </c>
      <c r="O123" s="24">
        <f t="shared" si="15"/>
        <v>20208677477.390362</v>
      </c>
      <c r="P123" s="23" t="e">
        <f t="shared" si="9"/>
        <v>#VALUE!</v>
      </c>
      <c r="Q123" s="23" t="e">
        <f t="shared" si="16"/>
        <v>#VALUE!</v>
      </c>
      <c r="R123" s="23" t="e">
        <f t="shared" si="17"/>
        <v>#VALUE!</v>
      </c>
    </row>
    <row r="124" spans="1:18" s="31" customFormat="1" ht="15" customHeight="1" x14ac:dyDescent="0.25">
      <c r="A124" s="31" t="s">
        <v>269</v>
      </c>
      <c r="B124" s="31" t="s">
        <v>270</v>
      </c>
      <c r="C124" s="31" t="s">
        <v>29</v>
      </c>
      <c r="D124" s="31" t="s">
        <v>22</v>
      </c>
      <c r="E124" s="19" t="s">
        <v>232</v>
      </c>
      <c r="F124" s="19" t="s">
        <v>232</v>
      </c>
      <c r="G124" s="19" t="e">
        <f t="shared" si="10"/>
        <v>#VALUE!</v>
      </c>
      <c r="H124" s="37">
        <f t="shared" si="11"/>
        <v>0</v>
      </c>
      <c r="I124" s="30">
        <v>1000000</v>
      </c>
      <c r="J124" s="30">
        <v>30000</v>
      </c>
      <c r="K124" s="24">
        <f t="shared" si="12"/>
        <v>56250</v>
      </c>
      <c r="L124" s="24" t="e">
        <f t="shared" si="13"/>
        <v>#VALUE!</v>
      </c>
      <c r="M124" s="36">
        <f t="shared" si="14"/>
        <v>0</v>
      </c>
      <c r="N124" s="30">
        <v>0</v>
      </c>
      <c r="O124" s="24">
        <f t="shared" si="15"/>
        <v>0</v>
      </c>
      <c r="P124" s="23" t="e">
        <f t="shared" si="9"/>
        <v>#VALUE!</v>
      </c>
      <c r="Q124" s="23" t="e">
        <f t="shared" si="16"/>
        <v>#VALUE!</v>
      </c>
      <c r="R124" s="23" t="e">
        <f t="shared" si="17"/>
        <v>#VALUE!</v>
      </c>
    </row>
    <row r="125" spans="1:18" s="31" customFormat="1" ht="15" customHeight="1" x14ac:dyDescent="0.25">
      <c r="A125" s="31" t="s">
        <v>271</v>
      </c>
      <c r="B125" s="31" t="s">
        <v>272</v>
      </c>
      <c r="C125" s="31" t="s">
        <v>18</v>
      </c>
      <c r="D125" s="31" t="s">
        <v>26</v>
      </c>
      <c r="E125" s="19" t="s">
        <v>232</v>
      </c>
      <c r="F125" s="19" t="s">
        <v>232</v>
      </c>
      <c r="G125" s="19" t="e">
        <f t="shared" si="10"/>
        <v>#VALUE!</v>
      </c>
      <c r="H125" s="37">
        <f t="shared" si="11"/>
        <v>0</v>
      </c>
      <c r="I125" s="24" t="s">
        <v>232</v>
      </c>
      <c r="J125" s="24" t="s">
        <v>232</v>
      </c>
      <c r="K125" s="24" t="e">
        <f t="shared" si="12"/>
        <v>#VALUE!</v>
      </c>
      <c r="L125" s="24" t="e">
        <f t="shared" si="13"/>
        <v>#VALUE!</v>
      </c>
      <c r="M125" s="36">
        <f t="shared" si="14"/>
        <v>0</v>
      </c>
      <c r="N125" s="30">
        <v>0</v>
      </c>
      <c r="O125" s="24">
        <f t="shared" si="15"/>
        <v>0</v>
      </c>
      <c r="P125" s="23" t="e">
        <f t="shared" si="9"/>
        <v>#VALUE!</v>
      </c>
      <c r="Q125" s="23" t="e">
        <f t="shared" si="16"/>
        <v>#VALUE!</v>
      </c>
      <c r="R125" s="23" t="e">
        <f t="shared" si="17"/>
        <v>#VALUE!</v>
      </c>
    </row>
    <row r="126" spans="1:18" ht="15" customHeight="1" x14ac:dyDescent="0.25">
      <c r="A126" s="19" t="s">
        <v>273</v>
      </c>
      <c r="B126" s="19" t="s">
        <v>274</v>
      </c>
      <c r="C126" s="19" t="s">
        <v>40</v>
      </c>
      <c r="D126" s="19" t="s">
        <v>32</v>
      </c>
      <c r="E126" s="19">
        <v>10628</v>
      </c>
      <c r="F126" s="21">
        <v>29.704554008279999</v>
      </c>
      <c r="G126" s="19">
        <f t="shared" si="10"/>
        <v>7471.0000000000009</v>
      </c>
      <c r="H126" s="37">
        <f t="shared" si="11"/>
        <v>7471.0000000000009</v>
      </c>
      <c r="I126" s="24">
        <v>1200000</v>
      </c>
      <c r="J126" s="24">
        <v>35000</v>
      </c>
      <c r="K126" s="24">
        <f t="shared" si="12"/>
        <v>65625</v>
      </c>
      <c r="L126" s="24">
        <f t="shared" si="13"/>
        <v>9455484375.0000019</v>
      </c>
      <c r="M126" s="36">
        <f t="shared" si="14"/>
        <v>9455484375.0000019</v>
      </c>
      <c r="N126" s="24">
        <v>1996969500.3540106</v>
      </c>
      <c r="O126" s="24">
        <f t="shared" si="15"/>
        <v>29954542505.310158</v>
      </c>
      <c r="P126" s="23">
        <f t="shared" si="9"/>
        <v>0.31566111795310481</v>
      </c>
      <c r="Q126" s="23">
        <f t="shared" si="16"/>
        <v>0.10522037265103493</v>
      </c>
      <c r="R126" s="23">
        <f t="shared" si="17"/>
        <v>0.94698335385931454</v>
      </c>
    </row>
    <row r="127" spans="1:18" ht="15" customHeight="1" x14ac:dyDescent="0.25">
      <c r="A127" s="19" t="s">
        <v>275</v>
      </c>
      <c r="B127" s="19" t="s">
        <v>276</v>
      </c>
      <c r="C127" s="19" t="s">
        <v>18</v>
      </c>
      <c r="D127" s="19" t="s">
        <v>32</v>
      </c>
      <c r="E127" s="19">
        <v>2080</v>
      </c>
      <c r="F127" s="19" t="s">
        <v>232</v>
      </c>
      <c r="G127" s="19" t="e">
        <f t="shared" si="10"/>
        <v>#VALUE!</v>
      </c>
      <c r="H127" s="37">
        <f t="shared" si="11"/>
        <v>0</v>
      </c>
      <c r="I127" s="24">
        <v>1200000</v>
      </c>
      <c r="J127" s="24">
        <v>35000</v>
      </c>
      <c r="K127" s="24">
        <f t="shared" si="12"/>
        <v>65625</v>
      </c>
      <c r="L127" s="24" t="e">
        <f t="shared" si="13"/>
        <v>#VALUE!</v>
      </c>
      <c r="M127" s="36">
        <f t="shared" si="14"/>
        <v>0</v>
      </c>
      <c r="N127" s="24">
        <v>717808.34286977118</v>
      </c>
      <c r="O127" s="24">
        <f t="shared" si="15"/>
        <v>10767125.143046567</v>
      </c>
      <c r="P127" s="23" t="e">
        <f t="shared" si="9"/>
        <v>#VALUE!</v>
      </c>
      <c r="Q127" s="23" t="e">
        <f t="shared" si="16"/>
        <v>#VALUE!</v>
      </c>
      <c r="R127" s="23" t="e">
        <f t="shared" si="17"/>
        <v>#VALUE!</v>
      </c>
    </row>
    <row r="128" spans="1:18" ht="15" customHeight="1" x14ac:dyDescent="0.25">
      <c r="A128" s="19" t="s">
        <v>277</v>
      </c>
      <c r="B128" s="19" t="s">
        <v>278</v>
      </c>
      <c r="C128" s="19" t="s">
        <v>18</v>
      </c>
      <c r="D128" s="19" t="s">
        <v>35</v>
      </c>
      <c r="E128" s="19">
        <v>371936</v>
      </c>
      <c r="F128" s="21">
        <v>37.211778370472302</v>
      </c>
      <c r="G128" s="19">
        <f t="shared" si="10"/>
        <v>233532.00000000015</v>
      </c>
      <c r="H128" s="37">
        <f t="shared" si="11"/>
        <v>233532.00000000015</v>
      </c>
      <c r="I128" s="24">
        <v>1100000</v>
      </c>
      <c r="J128" s="24">
        <v>35000</v>
      </c>
      <c r="K128" s="24">
        <f t="shared" si="12"/>
        <v>65625</v>
      </c>
      <c r="L128" s="24">
        <f t="shared" si="13"/>
        <v>272210737500.00018</v>
      </c>
      <c r="M128" s="36">
        <f t="shared" si="14"/>
        <v>272210737500.00018</v>
      </c>
      <c r="N128" s="24">
        <v>79509538709.839935</v>
      </c>
      <c r="O128" s="24">
        <f t="shared" si="15"/>
        <v>1192643080647.5991</v>
      </c>
      <c r="P128" s="23">
        <f t="shared" si="9"/>
        <v>0.22824157697891573</v>
      </c>
      <c r="Q128" s="23">
        <f t="shared" si="16"/>
        <v>7.6080525659638576E-2</v>
      </c>
      <c r="R128" s="23">
        <f t="shared" si="17"/>
        <v>0.68472473093674713</v>
      </c>
    </row>
    <row r="129" spans="1:18" ht="15" customHeight="1" x14ac:dyDescent="0.25">
      <c r="A129" s="19" t="s">
        <v>279</v>
      </c>
      <c r="B129" s="19" t="s">
        <v>280</v>
      </c>
      <c r="C129" s="19" t="s">
        <v>40</v>
      </c>
      <c r="D129" s="19" t="s">
        <v>26</v>
      </c>
      <c r="E129" s="19" t="s">
        <v>232</v>
      </c>
      <c r="F129" s="19" t="s">
        <v>232</v>
      </c>
      <c r="G129" s="19" t="e">
        <f t="shared" si="10"/>
        <v>#VALUE!</v>
      </c>
      <c r="H129" s="37">
        <f t="shared" si="11"/>
        <v>0</v>
      </c>
      <c r="I129" s="24" t="s">
        <v>232</v>
      </c>
      <c r="J129" s="24" t="s">
        <v>232</v>
      </c>
      <c r="K129" s="24" t="e">
        <f t="shared" si="12"/>
        <v>#VALUE!</v>
      </c>
      <c r="L129" s="24" t="e">
        <f t="shared" si="13"/>
        <v>#VALUE!</v>
      </c>
      <c r="M129" s="36">
        <f t="shared" si="14"/>
        <v>0</v>
      </c>
      <c r="N129" s="24">
        <v>122710.4341582333</v>
      </c>
      <c r="O129" s="24">
        <f t="shared" si="15"/>
        <v>1840656.5123734996</v>
      </c>
      <c r="P129" s="23" t="e">
        <f t="shared" si="9"/>
        <v>#VALUE!</v>
      </c>
      <c r="Q129" s="23" t="e">
        <f t="shared" si="16"/>
        <v>#VALUE!</v>
      </c>
      <c r="R129" s="23" t="e">
        <f t="shared" si="17"/>
        <v>#VALUE!</v>
      </c>
    </row>
    <row r="130" spans="1:18" ht="15" customHeight="1" x14ac:dyDescent="0.25">
      <c r="A130" s="19" t="s">
        <v>281</v>
      </c>
      <c r="B130" s="19" t="s">
        <v>282</v>
      </c>
      <c r="C130" s="19" t="s">
        <v>40</v>
      </c>
      <c r="D130" s="19" t="s">
        <v>19</v>
      </c>
      <c r="E130" s="19">
        <v>12837</v>
      </c>
      <c r="F130" s="21">
        <v>86.157201838435796</v>
      </c>
      <c r="G130" s="19">
        <f t="shared" si="10"/>
        <v>1776.9999999999973</v>
      </c>
      <c r="H130" s="37">
        <f t="shared" si="11"/>
        <v>1776.9999999999973</v>
      </c>
      <c r="I130" s="24">
        <v>1100000</v>
      </c>
      <c r="J130" s="24">
        <v>33000</v>
      </c>
      <c r="K130" s="24">
        <f t="shared" si="12"/>
        <v>61875</v>
      </c>
      <c r="L130" s="24">
        <f t="shared" si="13"/>
        <v>2064651874.9999969</v>
      </c>
      <c r="M130" s="36">
        <f t="shared" si="14"/>
        <v>2064651874.9999969</v>
      </c>
      <c r="N130" s="24">
        <v>26844920.985309076</v>
      </c>
      <c r="O130" s="24">
        <f t="shared" si="15"/>
        <v>402673814.77963614</v>
      </c>
      <c r="P130" s="23">
        <f t="shared" si="9"/>
        <v>5.1273556889461034</v>
      </c>
      <c r="Q130" s="23">
        <f t="shared" si="16"/>
        <v>1.7091185629820345</v>
      </c>
      <c r="R130" s="23">
        <f t="shared" si="17"/>
        <v>15.38206706683831</v>
      </c>
    </row>
    <row r="131" spans="1:18" ht="15" customHeight="1" x14ac:dyDescent="0.25">
      <c r="A131" s="19" t="s">
        <v>283</v>
      </c>
      <c r="B131" s="19" t="s">
        <v>284</v>
      </c>
      <c r="C131" s="19" t="s">
        <v>29</v>
      </c>
      <c r="D131" s="19" t="s">
        <v>19</v>
      </c>
      <c r="E131" s="19">
        <v>77</v>
      </c>
      <c r="F131" s="21">
        <v>100</v>
      </c>
      <c r="G131" s="19">
        <f t="shared" si="10"/>
        <v>0</v>
      </c>
      <c r="H131" s="37">
        <f t="shared" si="11"/>
        <v>0</v>
      </c>
      <c r="I131" s="24" t="s">
        <v>232</v>
      </c>
      <c r="J131" s="24" t="s">
        <v>232</v>
      </c>
      <c r="K131" s="24" t="e">
        <f t="shared" si="12"/>
        <v>#VALUE!</v>
      </c>
      <c r="L131" s="24" t="e">
        <f t="shared" si="13"/>
        <v>#VALUE!</v>
      </c>
      <c r="M131" s="36">
        <f t="shared" si="14"/>
        <v>0</v>
      </c>
      <c r="N131" s="24">
        <v>0</v>
      </c>
      <c r="O131" s="24">
        <f t="shared" si="15"/>
        <v>0</v>
      </c>
      <c r="P131" s="23" t="e">
        <f t="shared" ref="P131:P194" si="18">L131/O131</f>
        <v>#VALUE!</v>
      </c>
      <c r="Q131" s="23" t="e">
        <f t="shared" si="16"/>
        <v>#VALUE!</v>
      </c>
      <c r="R131" s="23" t="e">
        <f t="shared" si="17"/>
        <v>#VALUE!</v>
      </c>
    </row>
    <row r="132" spans="1:18" ht="15" customHeight="1" x14ac:dyDescent="0.25">
      <c r="A132" s="19" t="s">
        <v>285</v>
      </c>
      <c r="B132" s="19" t="s">
        <v>286</v>
      </c>
      <c r="C132" s="19" t="s">
        <v>40</v>
      </c>
      <c r="D132" s="19" t="s">
        <v>26</v>
      </c>
      <c r="E132" s="19" t="s">
        <v>232</v>
      </c>
      <c r="F132" s="19" t="s">
        <v>232</v>
      </c>
      <c r="G132" s="19" t="e">
        <f t="shared" ref="G132:G195" si="19">(1-(F132/100))*E132</f>
        <v>#VALUE!</v>
      </c>
      <c r="H132" s="37">
        <f t="shared" ref="H132:H195" si="20">IFERROR(G132,0)</f>
        <v>0</v>
      </c>
      <c r="I132" s="24" t="s">
        <v>232</v>
      </c>
      <c r="J132" s="24" t="s">
        <v>232</v>
      </c>
      <c r="K132" s="24" t="e">
        <f t="shared" ref="K132:K195" si="21">J132*(7.5/4)</f>
        <v>#VALUE!</v>
      </c>
      <c r="L132" s="24" t="e">
        <f t="shared" ref="L132:L195" si="22">G132*(I132+K132)</f>
        <v>#VALUE!</v>
      </c>
      <c r="M132" s="36">
        <f t="shared" ref="M132:M195" si="23">IFERROR(L132,0)</f>
        <v>0</v>
      </c>
      <c r="N132" s="24">
        <v>2578929370.5691776</v>
      </c>
      <c r="O132" s="24">
        <f t="shared" ref="O132:O195" si="24">N132*15</f>
        <v>38683940558.537666</v>
      </c>
      <c r="P132" s="23" t="e">
        <f t="shared" si="18"/>
        <v>#VALUE!</v>
      </c>
      <c r="Q132" s="23" t="e">
        <f t="shared" ref="Q132:Q195" si="25">(L132/2)/(O132*1.5)</f>
        <v>#VALUE!</v>
      </c>
      <c r="R132" s="23" t="e">
        <f t="shared" ref="R132:R195" si="26">(L132*1.5)/(O132/2)</f>
        <v>#VALUE!</v>
      </c>
    </row>
    <row r="133" spans="1:18" ht="15" customHeight="1" x14ac:dyDescent="0.25">
      <c r="A133" s="19" t="s">
        <v>287</v>
      </c>
      <c r="B133" s="19" t="s">
        <v>288</v>
      </c>
      <c r="C133" s="19" t="s">
        <v>18</v>
      </c>
      <c r="D133" s="19" t="s">
        <v>19</v>
      </c>
      <c r="E133" s="19">
        <v>7763</v>
      </c>
      <c r="F133" s="21">
        <v>69.109880200953199</v>
      </c>
      <c r="G133" s="19">
        <f t="shared" si="19"/>
        <v>2398.0000000000032</v>
      </c>
      <c r="H133" s="37">
        <f t="shared" si="20"/>
        <v>2398.0000000000032</v>
      </c>
      <c r="I133" s="24">
        <v>1100000</v>
      </c>
      <c r="J133" s="24">
        <v>33000</v>
      </c>
      <c r="K133" s="24">
        <f t="shared" si="21"/>
        <v>61875</v>
      </c>
      <c r="L133" s="24">
        <f t="shared" si="22"/>
        <v>2786176250.0000038</v>
      </c>
      <c r="M133" s="36">
        <f t="shared" si="23"/>
        <v>2786176250.0000038</v>
      </c>
      <c r="N133" s="24">
        <v>57851763.840370655</v>
      </c>
      <c r="O133" s="24">
        <f t="shared" si="24"/>
        <v>867776457.60555983</v>
      </c>
      <c r="P133" s="23">
        <f t="shared" si="18"/>
        <v>3.2107073493187985</v>
      </c>
      <c r="Q133" s="23">
        <f t="shared" si="25"/>
        <v>1.0702357831062661</v>
      </c>
      <c r="R133" s="23">
        <f t="shared" si="26"/>
        <v>9.6321220479563951</v>
      </c>
    </row>
    <row r="134" spans="1:18" ht="15" customHeight="1" x14ac:dyDescent="0.25">
      <c r="A134" s="19" t="s">
        <v>289</v>
      </c>
      <c r="B134" s="19" t="s">
        <v>290</v>
      </c>
      <c r="C134" s="19" t="s">
        <v>40</v>
      </c>
      <c r="D134" s="19" t="s">
        <v>22</v>
      </c>
      <c r="E134" s="19">
        <v>58395</v>
      </c>
      <c r="F134" s="21">
        <v>70.4118503296515</v>
      </c>
      <c r="G134" s="19">
        <f t="shared" si="19"/>
        <v>17278.000000000004</v>
      </c>
      <c r="H134" s="37">
        <f t="shared" si="20"/>
        <v>17278.000000000004</v>
      </c>
      <c r="I134" s="24">
        <v>1000000</v>
      </c>
      <c r="J134" s="24">
        <v>30000</v>
      </c>
      <c r="K134" s="24">
        <f t="shared" si="21"/>
        <v>56250</v>
      </c>
      <c r="L134" s="24">
        <f t="shared" si="22"/>
        <v>18249887500.000004</v>
      </c>
      <c r="M134" s="36">
        <f t="shared" si="23"/>
        <v>18249887500.000004</v>
      </c>
      <c r="N134" s="24">
        <v>2752538514.3211255</v>
      </c>
      <c r="O134" s="24">
        <f t="shared" si="24"/>
        <v>41288077714.816879</v>
      </c>
      <c r="P134" s="23">
        <f t="shared" si="18"/>
        <v>0.44201349421144748</v>
      </c>
      <c r="Q134" s="23">
        <f t="shared" si="25"/>
        <v>0.14733783140381582</v>
      </c>
      <c r="R134" s="23">
        <f t="shared" si="26"/>
        <v>1.3260404826343426</v>
      </c>
    </row>
    <row r="135" spans="1:18" ht="15" customHeight="1" x14ac:dyDescent="0.25">
      <c r="A135" s="19" t="s">
        <v>291</v>
      </c>
      <c r="B135" s="19" t="s">
        <v>292</v>
      </c>
      <c r="C135" s="19" t="s">
        <v>14</v>
      </c>
      <c r="D135" s="19" t="s">
        <v>32</v>
      </c>
      <c r="E135" s="19" t="s">
        <v>232</v>
      </c>
      <c r="F135" s="19" t="s">
        <v>232</v>
      </c>
      <c r="G135" s="19" t="e">
        <f t="shared" si="19"/>
        <v>#VALUE!</v>
      </c>
      <c r="H135" s="37">
        <f t="shared" si="20"/>
        <v>0</v>
      </c>
      <c r="I135" s="24">
        <v>1200000</v>
      </c>
      <c r="J135" s="24">
        <v>35000</v>
      </c>
      <c r="K135" s="24">
        <f t="shared" si="21"/>
        <v>65625</v>
      </c>
      <c r="L135" s="24" t="e">
        <f t="shared" si="22"/>
        <v>#VALUE!</v>
      </c>
      <c r="M135" s="36">
        <f t="shared" si="23"/>
        <v>0</v>
      </c>
      <c r="N135" s="24">
        <v>1468383419.1173403</v>
      </c>
      <c r="O135" s="24">
        <f t="shared" si="24"/>
        <v>22025751286.760105</v>
      </c>
      <c r="P135" s="23" t="e">
        <f t="shared" si="18"/>
        <v>#VALUE!</v>
      </c>
      <c r="Q135" s="23" t="e">
        <f t="shared" si="25"/>
        <v>#VALUE!</v>
      </c>
      <c r="R135" s="23" t="e">
        <f t="shared" si="26"/>
        <v>#VALUE!</v>
      </c>
    </row>
    <row r="136" spans="1:18" ht="15" customHeight="1" x14ac:dyDescent="0.25">
      <c r="A136" s="19" t="s">
        <v>293</v>
      </c>
      <c r="B136" s="19" t="s">
        <v>294</v>
      </c>
      <c r="C136" s="19" t="s">
        <v>14</v>
      </c>
      <c r="D136" s="19" t="s">
        <v>26</v>
      </c>
      <c r="E136" s="19">
        <v>34377</v>
      </c>
      <c r="F136" s="21">
        <v>48.421909997963802</v>
      </c>
      <c r="G136" s="19">
        <f t="shared" si="19"/>
        <v>17730.999999999982</v>
      </c>
      <c r="H136" s="37">
        <f t="shared" si="20"/>
        <v>17730.999999999982</v>
      </c>
      <c r="I136" s="24">
        <v>1100000</v>
      </c>
      <c r="J136" s="24">
        <v>33000</v>
      </c>
      <c r="K136" s="24">
        <f t="shared" si="21"/>
        <v>61875</v>
      </c>
      <c r="L136" s="24">
        <f t="shared" si="22"/>
        <v>20601205624.999977</v>
      </c>
      <c r="M136" s="36">
        <f t="shared" si="23"/>
        <v>20601205624.999977</v>
      </c>
      <c r="N136" s="24" t="s">
        <v>232</v>
      </c>
      <c r="O136" s="24" t="e">
        <f t="shared" si="24"/>
        <v>#VALUE!</v>
      </c>
      <c r="P136" s="23" t="e">
        <f t="shared" si="18"/>
        <v>#VALUE!</v>
      </c>
      <c r="Q136" s="23" t="e">
        <f t="shared" si="25"/>
        <v>#VALUE!</v>
      </c>
      <c r="R136" s="23" t="e">
        <f t="shared" si="26"/>
        <v>#VALUE!</v>
      </c>
    </row>
    <row r="137" spans="1:18" ht="15" customHeight="1" x14ac:dyDescent="0.25">
      <c r="A137" s="19" t="s">
        <v>295</v>
      </c>
      <c r="B137" s="19" t="s">
        <v>296</v>
      </c>
      <c r="C137" s="19" t="s">
        <v>18</v>
      </c>
      <c r="D137" s="19" t="s">
        <v>32</v>
      </c>
      <c r="E137" s="19">
        <v>44138</v>
      </c>
      <c r="F137" s="21">
        <v>14.472789886265801</v>
      </c>
      <c r="G137" s="19">
        <f t="shared" si="19"/>
        <v>37750</v>
      </c>
      <c r="H137" s="37">
        <f t="shared" si="20"/>
        <v>37750</v>
      </c>
      <c r="I137" s="24">
        <v>1200000</v>
      </c>
      <c r="J137" s="24">
        <v>35000</v>
      </c>
      <c r="K137" s="24">
        <f t="shared" si="21"/>
        <v>65625</v>
      </c>
      <c r="L137" s="24">
        <f t="shared" si="22"/>
        <v>47777343750</v>
      </c>
      <c r="M137" s="36">
        <f t="shared" si="23"/>
        <v>47777343750</v>
      </c>
      <c r="N137" s="24">
        <v>322584332.15443879</v>
      </c>
      <c r="O137" s="24">
        <f t="shared" si="24"/>
        <v>4838764982.3165817</v>
      </c>
      <c r="P137" s="23">
        <f t="shared" si="18"/>
        <v>9.8738715198204083</v>
      </c>
      <c r="Q137" s="23">
        <f t="shared" si="25"/>
        <v>3.2912905066068028</v>
      </c>
      <c r="R137" s="23">
        <f t="shared" si="26"/>
        <v>29.621614559461225</v>
      </c>
    </row>
    <row r="138" spans="1:18" ht="15" customHeight="1" x14ac:dyDescent="0.25">
      <c r="A138" s="19" t="s">
        <v>297</v>
      </c>
      <c r="B138" s="19" t="s">
        <v>298</v>
      </c>
      <c r="C138" s="19" t="s">
        <v>14</v>
      </c>
      <c r="D138" s="19" t="s">
        <v>15</v>
      </c>
      <c r="E138" s="19" t="s">
        <v>232</v>
      </c>
      <c r="F138" s="19" t="s">
        <v>232</v>
      </c>
      <c r="G138" s="19" t="e">
        <f t="shared" si="19"/>
        <v>#VALUE!</v>
      </c>
      <c r="H138" s="37">
        <f t="shared" si="20"/>
        <v>0</v>
      </c>
      <c r="I138" s="24" t="s">
        <v>232</v>
      </c>
      <c r="J138" s="24" t="s">
        <v>232</v>
      </c>
      <c r="K138" s="24" t="e">
        <f t="shared" si="21"/>
        <v>#VALUE!</v>
      </c>
      <c r="L138" s="24" t="e">
        <f t="shared" si="22"/>
        <v>#VALUE!</v>
      </c>
      <c r="M138" s="36">
        <f t="shared" si="23"/>
        <v>0</v>
      </c>
      <c r="N138" s="24">
        <v>1089428122.9560325</v>
      </c>
      <c r="O138" s="24">
        <f t="shared" si="24"/>
        <v>16341421844.340488</v>
      </c>
      <c r="P138" s="23" t="e">
        <f t="shared" si="18"/>
        <v>#VALUE!</v>
      </c>
      <c r="Q138" s="23" t="e">
        <f t="shared" si="25"/>
        <v>#VALUE!</v>
      </c>
      <c r="R138" s="23" t="e">
        <f t="shared" si="26"/>
        <v>#VALUE!</v>
      </c>
    </row>
    <row r="139" spans="1:18" ht="15" customHeight="1" x14ac:dyDescent="0.25">
      <c r="A139" s="19" t="s">
        <v>299</v>
      </c>
      <c r="B139" s="19" t="s">
        <v>300</v>
      </c>
      <c r="C139" s="19" t="s">
        <v>45</v>
      </c>
      <c r="D139" s="19" t="s">
        <v>19</v>
      </c>
      <c r="E139" s="19">
        <v>137347</v>
      </c>
      <c r="F139" s="19" t="s">
        <v>232</v>
      </c>
      <c r="G139" s="19" t="e">
        <f t="shared" si="19"/>
        <v>#VALUE!</v>
      </c>
      <c r="H139" s="37">
        <f t="shared" si="20"/>
        <v>0</v>
      </c>
      <c r="I139" s="24" t="s">
        <v>232</v>
      </c>
      <c r="J139" s="24" t="s">
        <v>232</v>
      </c>
      <c r="K139" s="24" t="e">
        <f t="shared" si="21"/>
        <v>#VALUE!</v>
      </c>
      <c r="L139" s="24" t="e">
        <f t="shared" si="22"/>
        <v>#VALUE!</v>
      </c>
      <c r="M139" s="36">
        <f t="shared" si="23"/>
        <v>0</v>
      </c>
      <c r="N139" s="24">
        <v>9858835201.9990978</v>
      </c>
      <c r="O139" s="24">
        <f t="shared" si="24"/>
        <v>147882528029.98648</v>
      </c>
      <c r="P139" s="23" t="e">
        <f t="shared" si="18"/>
        <v>#VALUE!</v>
      </c>
      <c r="Q139" s="23" t="e">
        <f t="shared" si="25"/>
        <v>#VALUE!</v>
      </c>
      <c r="R139" s="23" t="e">
        <f t="shared" si="26"/>
        <v>#VALUE!</v>
      </c>
    </row>
    <row r="140" spans="1:18" ht="15" customHeight="1" x14ac:dyDescent="0.25">
      <c r="A140" s="19" t="s">
        <v>301</v>
      </c>
      <c r="B140" s="19" t="s">
        <v>302</v>
      </c>
      <c r="C140" s="19" t="s">
        <v>29</v>
      </c>
      <c r="D140" s="19" t="s">
        <v>26</v>
      </c>
      <c r="E140" s="19" t="s">
        <v>232</v>
      </c>
      <c r="F140" s="19" t="s">
        <v>232</v>
      </c>
      <c r="G140" s="19" t="e">
        <f t="shared" si="19"/>
        <v>#VALUE!</v>
      </c>
      <c r="H140" s="37">
        <f t="shared" si="20"/>
        <v>0</v>
      </c>
      <c r="I140" s="24" t="s">
        <v>232</v>
      </c>
      <c r="J140" s="24" t="s">
        <v>232</v>
      </c>
      <c r="K140" s="24" t="e">
        <f t="shared" si="21"/>
        <v>#VALUE!</v>
      </c>
      <c r="L140" s="24" t="e">
        <f t="shared" si="22"/>
        <v>#VALUE!</v>
      </c>
      <c r="M140" s="36">
        <f t="shared" si="23"/>
        <v>0</v>
      </c>
      <c r="N140" s="24" t="s">
        <v>232</v>
      </c>
      <c r="O140" s="24" t="e">
        <f t="shared" si="24"/>
        <v>#VALUE!</v>
      </c>
      <c r="P140" s="23" t="e">
        <f t="shared" si="18"/>
        <v>#VALUE!</v>
      </c>
      <c r="Q140" s="23" t="e">
        <f t="shared" si="25"/>
        <v>#VALUE!</v>
      </c>
      <c r="R140" s="23" t="e">
        <f t="shared" si="26"/>
        <v>#VALUE!</v>
      </c>
    </row>
    <row r="141" spans="1:18" ht="15" customHeight="1" x14ac:dyDescent="0.25">
      <c r="A141" s="19" t="s">
        <v>303</v>
      </c>
      <c r="B141" s="19" t="s">
        <v>304</v>
      </c>
      <c r="C141" s="19" t="s">
        <v>45</v>
      </c>
      <c r="D141" s="19" t="s">
        <v>26</v>
      </c>
      <c r="E141" s="19">
        <v>94094</v>
      </c>
      <c r="F141" s="21">
        <v>66.147682105128894</v>
      </c>
      <c r="G141" s="19">
        <f t="shared" si="19"/>
        <v>31853.000000000022</v>
      </c>
      <c r="H141" s="37">
        <f t="shared" si="20"/>
        <v>31853.000000000022</v>
      </c>
      <c r="I141" s="24">
        <v>1300000</v>
      </c>
      <c r="J141" s="24">
        <v>40000</v>
      </c>
      <c r="K141" s="24">
        <f t="shared" si="21"/>
        <v>75000</v>
      </c>
      <c r="L141" s="24">
        <f t="shared" si="22"/>
        <v>43797875000.000031</v>
      </c>
      <c r="M141" s="36">
        <f t="shared" si="23"/>
        <v>43797875000.000031</v>
      </c>
      <c r="N141" s="24">
        <v>3454391570.3166966</v>
      </c>
      <c r="O141" s="24">
        <f t="shared" si="24"/>
        <v>51815873554.75045</v>
      </c>
      <c r="P141" s="23">
        <f t="shared" si="18"/>
        <v>0.84525980158805347</v>
      </c>
      <c r="Q141" s="23">
        <f t="shared" si="25"/>
        <v>0.28175326719601784</v>
      </c>
      <c r="R141" s="23">
        <f t="shared" si="26"/>
        <v>2.5357794047641602</v>
      </c>
    </row>
    <row r="142" spans="1:18" ht="15" customHeight="1" x14ac:dyDescent="0.25">
      <c r="A142" s="19" t="s">
        <v>305</v>
      </c>
      <c r="B142" s="19" t="s">
        <v>306</v>
      </c>
      <c r="C142" s="19" t="s">
        <v>40</v>
      </c>
      <c r="D142" s="19" t="s">
        <v>35</v>
      </c>
      <c r="E142" s="19">
        <v>22111.05</v>
      </c>
      <c r="F142" s="21">
        <v>12.7276180914068</v>
      </c>
      <c r="G142" s="19">
        <f t="shared" si="19"/>
        <v>19296.839999999997</v>
      </c>
      <c r="H142" s="37">
        <f t="shared" si="20"/>
        <v>19296.839999999997</v>
      </c>
      <c r="I142" s="24">
        <v>1100000</v>
      </c>
      <c r="J142" s="24">
        <v>35000</v>
      </c>
      <c r="K142" s="24">
        <f t="shared" si="21"/>
        <v>65625</v>
      </c>
      <c r="L142" s="24">
        <f t="shared" si="22"/>
        <v>22492879124.999996</v>
      </c>
      <c r="M142" s="36">
        <f t="shared" si="23"/>
        <v>22492879124.999996</v>
      </c>
      <c r="N142" s="24">
        <v>499234155.04849941</v>
      </c>
      <c r="O142" s="24">
        <f t="shared" si="24"/>
        <v>7488512325.7274914</v>
      </c>
      <c r="P142" s="23">
        <f t="shared" si="18"/>
        <v>3.0036512122339154</v>
      </c>
      <c r="Q142" s="23">
        <f t="shared" si="25"/>
        <v>1.0012170707446386</v>
      </c>
      <c r="R142" s="23">
        <f t="shared" si="26"/>
        <v>9.0109536367017462</v>
      </c>
    </row>
    <row r="143" spans="1:18" ht="15" customHeight="1" x14ac:dyDescent="0.25">
      <c r="A143" s="19" t="s">
        <v>307</v>
      </c>
      <c r="B143" s="19" t="s">
        <v>308</v>
      </c>
      <c r="C143" s="19" t="s">
        <v>14</v>
      </c>
      <c r="D143" s="19" t="s">
        <v>32</v>
      </c>
      <c r="E143" s="19">
        <v>19267</v>
      </c>
      <c r="F143" s="19" t="s">
        <v>232</v>
      </c>
      <c r="G143" s="19" t="e">
        <f t="shared" si="19"/>
        <v>#VALUE!</v>
      </c>
      <c r="H143" s="37">
        <f t="shared" si="20"/>
        <v>0</v>
      </c>
      <c r="I143" s="24">
        <v>1200000</v>
      </c>
      <c r="J143" s="24">
        <v>35000</v>
      </c>
      <c r="K143" s="24">
        <f t="shared" si="21"/>
        <v>65625</v>
      </c>
      <c r="L143" s="24" t="e">
        <f t="shared" si="22"/>
        <v>#VALUE!</v>
      </c>
      <c r="M143" s="36">
        <f t="shared" si="23"/>
        <v>0</v>
      </c>
      <c r="N143" s="24">
        <v>616279880.15976942</v>
      </c>
      <c r="O143" s="24">
        <f t="shared" si="24"/>
        <v>9244198202.3965416</v>
      </c>
      <c r="P143" s="23" t="e">
        <f t="shared" si="18"/>
        <v>#VALUE!</v>
      </c>
      <c r="Q143" s="23" t="e">
        <f t="shared" si="25"/>
        <v>#VALUE!</v>
      </c>
      <c r="R143" s="23" t="e">
        <f t="shared" si="26"/>
        <v>#VALUE!</v>
      </c>
    </row>
    <row r="144" spans="1:18" ht="15" customHeight="1" x14ac:dyDescent="0.25">
      <c r="A144" s="19" t="s">
        <v>309</v>
      </c>
      <c r="B144" s="19" t="s">
        <v>310</v>
      </c>
      <c r="C144" s="19" t="s">
        <v>40</v>
      </c>
      <c r="D144" s="19" t="s">
        <v>32</v>
      </c>
      <c r="E144" s="19" t="s">
        <v>232</v>
      </c>
      <c r="F144" s="19" t="s">
        <v>232</v>
      </c>
      <c r="G144" s="19" t="e">
        <f t="shared" si="19"/>
        <v>#VALUE!</v>
      </c>
      <c r="H144" s="37">
        <f t="shared" si="20"/>
        <v>0</v>
      </c>
      <c r="I144" s="24">
        <v>1200000</v>
      </c>
      <c r="J144" s="24">
        <v>35000</v>
      </c>
      <c r="K144" s="24">
        <f t="shared" si="21"/>
        <v>65625</v>
      </c>
      <c r="L144" s="24" t="e">
        <f t="shared" si="22"/>
        <v>#VALUE!</v>
      </c>
      <c r="M144" s="36">
        <f t="shared" si="23"/>
        <v>0</v>
      </c>
      <c r="N144" s="24">
        <v>105572259626.5011</v>
      </c>
      <c r="O144" s="24">
        <f t="shared" si="24"/>
        <v>1583583894397.5166</v>
      </c>
      <c r="P144" s="23" t="e">
        <f t="shared" si="18"/>
        <v>#VALUE!</v>
      </c>
      <c r="Q144" s="23" t="e">
        <f t="shared" si="25"/>
        <v>#VALUE!</v>
      </c>
      <c r="R144" s="23" t="e">
        <f t="shared" si="26"/>
        <v>#VALUE!</v>
      </c>
    </row>
    <row r="145" spans="1:18" ht="15" customHeight="1" x14ac:dyDescent="0.25">
      <c r="A145" s="19" t="s">
        <v>311</v>
      </c>
      <c r="B145" s="19" t="s">
        <v>312</v>
      </c>
      <c r="C145" s="19" t="s">
        <v>29</v>
      </c>
      <c r="D145" s="19" t="s">
        <v>26</v>
      </c>
      <c r="E145" s="19" t="s">
        <v>232</v>
      </c>
      <c r="F145" s="19" t="s">
        <v>232</v>
      </c>
      <c r="G145" s="19" t="e">
        <f t="shared" si="19"/>
        <v>#VALUE!</v>
      </c>
      <c r="H145" s="37">
        <f t="shared" si="20"/>
        <v>0</v>
      </c>
      <c r="I145" s="24" t="s">
        <v>232</v>
      </c>
      <c r="J145" s="24" t="s">
        <v>232</v>
      </c>
      <c r="K145" s="24" t="e">
        <f t="shared" si="21"/>
        <v>#VALUE!</v>
      </c>
      <c r="L145" s="24" t="e">
        <f t="shared" si="22"/>
        <v>#VALUE!</v>
      </c>
      <c r="M145" s="36">
        <f t="shared" si="23"/>
        <v>0</v>
      </c>
      <c r="N145" s="24" t="s">
        <v>232</v>
      </c>
      <c r="O145" s="24" t="e">
        <f t="shared" si="24"/>
        <v>#VALUE!</v>
      </c>
      <c r="P145" s="23" t="e">
        <f t="shared" si="18"/>
        <v>#VALUE!</v>
      </c>
      <c r="Q145" s="23" t="e">
        <f t="shared" si="25"/>
        <v>#VALUE!</v>
      </c>
      <c r="R145" s="23" t="e">
        <f t="shared" si="26"/>
        <v>#VALUE!</v>
      </c>
    </row>
    <row r="146" spans="1:18" ht="15" customHeight="1" x14ac:dyDescent="0.25">
      <c r="A146" s="19" t="s">
        <v>313</v>
      </c>
      <c r="B146" s="19" t="s">
        <v>314</v>
      </c>
      <c r="C146" s="19" t="s">
        <v>45</v>
      </c>
      <c r="D146" s="19" t="s">
        <v>19</v>
      </c>
      <c r="E146" s="19">
        <v>93509</v>
      </c>
      <c r="F146" s="21">
        <v>80.700253451539396</v>
      </c>
      <c r="G146" s="19">
        <f t="shared" si="19"/>
        <v>18047.000000000029</v>
      </c>
      <c r="H146" s="37">
        <f t="shared" si="20"/>
        <v>18047.000000000029</v>
      </c>
      <c r="I146" s="24" t="s">
        <v>232</v>
      </c>
      <c r="J146" s="24" t="s">
        <v>232</v>
      </c>
      <c r="K146" s="24" t="e">
        <f t="shared" si="21"/>
        <v>#VALUE!</v>
      </c>
      <c r="L146" s="24" t="e">
        <f t="shared" si="22"/>
        <v>#VALUE!</v>
      </c>
      <c r="M146" s="36">
        <f t="shared" si="23"/>
        <v>0</v>
      </c>
      <c r="N146" s="24">
        <v>55897649769.889412</v>
      </c>
      <c r="O146" s="24">
        <f t="shared" si="24"/>
        <v>838464746548.34119</v>
      </c>
      <c r="P146" s="23" t="e">
        <f t="shared" si="18"/>
        <v>#VALUE!</v>
      </c>
      <c r="Q146" s="23" t="e">
        <f t="shared" si="25"/>
        <v>#VALUE!</v>
      </c>
      <c r="R146" s="23" t="e">
        <f t="shared" si="26"/>
        <v>#VALUE!</v>
      </c>
    </row>
    <row r="147" spans="1:18" ht="15" customHeight="1" x14ac:dyDescent="0.25">
      <c r="A147" s="19" t="s">
        <v>315</v>
      </c>
      <c r="B147" s="19" t="s">
        <v>316</v>
      </c>
      <c r="C147" s="19" t="s">
        <v>29</v>
      </c>
      <c r="D147" s="19" t="s">
        <v>22</v>
      </c>
      <c r="E147" s="19">
        <v>59363</v>
      </c>
      <c r="F147" s="21">
        <v>48.688577059784699</v>
      </c>
      <c r="G147" s="19">
        <f t="shared" si="19"/>
        <v>30460.000000000011</v>
      </c>
      <c r="H147" s="37">
        <f t="shared" si="20"/>
        <v>30460.000000000011</v>
      </c>
      <c r="I147" s="24">
        <v>1000000</v>
      </c>
      <c r="J147" s="24">
        <v>30000</v>
      </c>
      <c r="K147" s="24">
        <f t="shared" si="21"/>
        <v>56250</v>
      </c>
      <c r="L147" s="24">
        <f t="shared" si="22"/>
        <v>32173375000.000011</v>
      </c>
      <c r="M147" s="36">
        <f t="shared" si="23"/>
        <v>32173375000.000011</v>
      </c>
      <c r="N147" s="24">
        <v>24681714780.510975</v>
      </c>
      <c r="O147" s="24">
        <f t="shared" si="24"/>
        <v>370225721707.66461</v>
      </c>
      <c r="P147" s="23">
        <f t="shared" si="18"/>
        <v>8.6902052217226966E-2</v>
      </c>
      <c r="Q147" s="23">
        <f t="shared" si="25"/>
        <v>2.8967350739075654E-2</v>
      </c>
      <c r="R147" s="23">
        <f t="shared" si="26"/>
        <v>0.2607061566516809</v>
      </c>
    </row>
    <row r="148" spans="1:18" ht="15" customHeight="1" x14ac:dyDescent="0.25">
      <c r="A148" s="19" t="s">
        <v>317</v>
      </c>
      <c r="B148" s="19" t="s">
        <v>318</v>
      </c>
      <c r="C148" s="19" t="s">
        <v>40</v>
      </c>
      <c r="D148" s="19" t="s">
        <v>15</v>
      </c>
      <c r="E148" s="19">
        <v>261577</v>
      </c>
      <c r="F148" s="21">
        <v>72.452853270738601</v>
      </c>
      <c r="G148" s="19">
        <f t="shared" si="19"/>
        <v>72057.000000000087</v>
      </c>
      <c r="H148" s="37">
        <f t="shared" si="20"/>
        <v>72057.000000000087</v>
      </c>
      <c r="I148" s="24">
        <v>1100000</v>
      </c>
      <c r="J148" s="24">
        <v>33000</v>
      </c>
      <c r="K148" s="24">
        <f t="shared" si="21"/>
        <v>61875</v>
      </c>
      <c r="L148" s="24">
        <f t="shared" si="22"/>
        <v>83721226875.000107</v>
      </c>
      <c r="M148" s="36">
        <f t="shared" si="23"/>
        <v>83721226875.000107</v>
      </c>
      <c r="N148" s="24">
        <v>8516083273.6478567</v>
      </c>
      <c r="O148" s="24">
        <f t="shared" si="24"/>
        <v>127741249104.71785</v>
      </c>
      <c r="P148" s="23">
        <f t="shared" si="18"/>
        <v>0.65539696426773109</v>
      </c>
      <c r="Q148" s="23">
        <f t="shared" si="25"/>
        <v>0.21846565475591037</v>
      </c>
      <c r="R148" s="23">
        <f t="shared" si="26"/>
        <v>1.9661908928031933</v>
      </c>
    </row>
    <row r="149" spans="1:18" s="31" customFormat="1" ht="15" customHeight="1" x14ac:dyDescent="0.25">
      <c r="A149" s="31" t="s">
        <v>319</v>
      </c>
      <c r="B149" s="31" t="s">
        <v>320</v>
      </c>
      <c r="C149" s="31" t="s">
        <v>18</v>
      </c>
      <c r="D149" s="31" t="s">
        <v>26</v>
      </c>
      <c r="E149" s="19" t="s">
        <v>232</v>
      </c>
      <c r="F149" s="19" t="s">
        <v>232</v>
      </c>
      <c r="G149" s="19" t="e">
        <f t="shared" si="19"/>
        <v>#VALUE!</v>
      </c>
      <c r="H149" s="37">
        <f t="shared" si="20"/>
        <v>0</v>
      </c>
      <c r="I149" s="24" t="s">
        <v>232</v>
      </c>
      <c r="J149" s="24" t="s">
        <v>232</v>
      </c>
      <c r="K149" s="24" t="e">
        <f t="shared" si="21"/>
        <v>#VALUE!</v>
      </c>
      <c r="L149" s="24" t="e">
        <f t="shared" si="22"/>
        <v>#VALUE!</v>
      </c>
      <c r="M149" s="36">
        <f t="shared" si="23"/>
        <v>0</v>
      </c>
      <c r="N149" s="30">
        <v>0</v>
      </c>
      <c r="O149" s="24">
        <f t="shared" si="24"/>
        <v>0</v>
      </c>
      <c r="P149" s="23" t="e">
        <f t="shared" si="18"/>
        <v>#VALUE!</v>
      </c>
      <c r="Q149" s="23" t="e">
        <f t="shared" si="25"/>
        <v>#VALUE!</v>
      </c>
      <c r="R149" s="23" t="e">
        <f t="shared" si="26"/>
        <v>#VALUE!</v>
      </c>
    </row>
    <row r="150" spans="1:18" ht="15" customHeight="1" x14ac:dyDescent="0.25">
      <c r="A150" s="19" t="s">
        <v>321</v>
      </c>
      <c r="B150" s="19" t="s">
        <v>322</v>
      </c>
      <c r="C150" s="19" t="s">
        <v>18</v>
      </c>
      <c r="D150" s="19" t="s">
        <v>35</v>
      </c>
      <c r="E150" s="19">
        <v>15137.12</v>
      </c>
      <c r="F150" s="21">
        <v>41.058999334087297</v>
      </c>
      <c r="G150" s="19">
        <f t="shared" si="19"/>
        <v>8921.9700000000048</v>
      </c>
      <c r="H150" s="37">
        <f t="shared" si="20"/>
        <v>8921.9700000000048</v>
      </c>
      <c r="I150" s="24">
        <v>1100000</v>
      </c>
      <c r="J150" s="24">
        <v>35000</v>
      </c>
      <c r="K150" s="24">
        <f t="shared" si="21"/>
        <v>65625</v>
      </c>
      <c r="L150" s="24">
        <f t="shared" si="22"/>
        <v>10399671281.250006</v>
      </c>
      <c r="M150" s="36">
        <f t="shared" si="23"/>
        <v>10399671281.250006</v>
      </c>
      <c r="N150" s="24">
        <v>223144062.80733454</v>
      </c>
      <c r="O150" s="24">
        <f t="shared" si="24"/>
        <v>3347160942.1100183</v>
      </c>
      <c r="P150" s="23">
        <f t="shared" si="18"/>
        <v>3.1070126178916726</v>
      </c>
      <c r="Q150" s="23">
        <f t="shared" si="25"/>
        <v>1.0356708726305575</v>
      </c>
      <c r="R150" s="23">
        <f t="shared" si="26"/>
        <v>9.3210378536750174</v>
      </c>
    </row>
    <row r="151" spans="1:18" ht="15" customHeight="1" x14ac:dyDescent="0.25">
      <c r="A151" s="19" t="s">
        <v>323</v>
      </c>
      <c r="B151" s="19" t="s">
        <v>324</v>
      </c>
      <c r="C151" s="19" t="s">
        <v>40</v>
      </c>
      <c r="D151" s="19" t="s">
        <v>26</v>
      </c>
      <c r="E151" s="19" t="s">
        <v>232</v>
      </c>
      <c r="F151" s="19" t="s">
        <v>232</v>
      </c>
      <c r="G151" s="19" t="e">
        <f t="shared" si="19"/>
        <v>#VALUE!</v>
      </c>
      <c r="H151" s="37">
        <f t="shared" si="20"/>
        <v>0</v>
      </c>
      <c r="I151" s="24" t="s">
        <v>232</v>
      </c>
      <c r="J151" s="24" t="s">
        <v>232</v>
      </c>
      <c r="K151" s="24" t="e">
        <f t="shared" si="21"/>
        <v>#VALUE!</v>
      </c>
      <c r="L151" s="24" t="e">
        <f t="shared" si="22"/>
        <v>#VALUE!</v>
      </c>
      <c r="M151" s="36">
        <f t="shared" si="23"/>
        <v>0</v>
      </c>
      <c r="N151" s="24">
        <v>4102225109.4098563</v>
      </c>
      <c r="O151" s="24">
        <f t="shared" si="24"/>
        <v>61533376641.147842</v>
      </c>
      <c r="P151" s="23" t="e">
        <f t="shared" si="18"/>
        <v>#VALUE!</v>
      </c>
      <c r="Q151" s="23" t="e">
        <f t="shared" si="25"/>
        <v>#VALUE!</v>
      </c>
      <c r="R151" s="23" t="e">
        <f t="shared" si="26"/>
        <v>#VALUE!</v>
      </c>
    </row>
    <row r="152" spans="1:18" ht="15" customHeight="1" x14ac:dyDescent="0.25">
      <c r="A152" s="19" t="s">
        <v>325</v>
      </c>
      <c r="B152" s="19" t="s">
        <v>326</v>
      </c>
      <c r="C152" s="19" t="s">
        <v>40</v>
      </c>
      <c r="D152" s="19" t="s">
        <v>35</v>
      </c>
      <c r="E152" s="19">
        <v>32059</v>
      </c>
      <c r="F152" s="21">
        <v>15.159549580461</v>
      </c>
      <c r="G152" s="19">
        <f t="shared" si="19"/>
        <v>27199.000000000011</v>
      </c>
      <c r="H152" s="37">
        <f t="shared" si="20"/>
        <v>27199.000000000011</v>
      </c>
      <c r="I152" s="24">
        <v>1100000</v>
      </c>
      <c r="J152" s="24">
        <v>35000</v>
      </c>
      <c r="K152" s="24">
        <f t="shared" si="21"/>
        <v>65625</v>
      </c>
      <c r="L152" s="24">
        <f t="shared" si="22"/>
        <v>31703834375.000011</v>
      </c>
      <c r="M152" s="36">
        <f t="shared" si="23"/>
        <v>31703834375.000011</v>
      </c>
      <c r="N152" s="24">
        <v>1106511912.5295491</v>
      </c>
      <c r="O152" s="24">
        <f t="shared" si="24"/>
        <v>16597678687.943237</v>
      </c>
      <c r="P152" s="23">
        <f t="shared" si="18"/>
        <v>1.9101366504961972</v>
      </c>
      <c r="Q152" s="23">
        <f t="shared" si="25"/>
        <v>0.63671221683206569</v>
      </c>
      <c r="R152" s="23">
        <f t="shared" si="26"/>
        <v>5.7304099514885909</v>
      </c>
    </row>
    <row r="153" spans="1:18" ht="15" customHeight="1" x14ac:dyDescent="0.25">
      <c r="A153" s="19" t="s">
        <v>327</v>
      </c>
      <c r="B153" s="19" t="s">
        <v>328</v>
      </c>
      <c r="C153" s="19" t="s">
        <v>18</v>
      </c>
      <c r="D153" s="19" t="s">
        <v>35</v>
      </c>
      <c r="E153" s="19">
        <v>84244.9</v>
      </c>
      <c r="F153" s="21">
        <v>18.176791710833498</v>
      </c>
      <c r="G153" s="19">
        <f t="shared" si="19"/>
        <v>68931.880000000034</v>
      </c>
      <c r="H153" s="37">
        <f t="shared" si="20"/>
        <v>68931.880000000034</v>
      </c>
      <c r="I153" s="24">
        <v>1100000</v>
      </c>
      <c r="J153" s="24">
        <v>35000</v>
      </c>
      <c r="K153" s="24">
        <f t="shared" si="21"/>
        <v>65625</v>
      </c>
      <c r="L153" s="24">
        <f t="shared" si="22"/>
        <v>80348722625.000046</v>
      </c>
      <c r="M153" s="36">
        <f t="shared" si="23"/>
        <v>80348722625.000046</v>
      </c>
      <c r="N153" s="24">
        <v>18873226426.094227</v>
      </c>
      <c r="O153" s="24">
        <f t="shared" si="24"/>
        <v>283098396391.41339</v>
      </c>
      <c r="P153" s="23">
        <f t="shared" si="18"/>
        <v>0.28381906661848222</v>
      </c>
      <c r="Q153" s="23">
        <f t="shared" si="25"/>
        <v>9.4606355539494064E-2</v>
      </c>
      <c r="R153" s="23">
        <f t="shared" si="26"/>
        <v>0.85145719985544666</v>
      </c>
    </row>
    <row r="154" spans="1:18" ht="15" customHeight="1" x14ac:dyDescent="0.25">
      <c r="A154" s="19" t="s">
        <v>329</v>
      </c>
      <c r="B154" s="19" t="s">
        <v>330</v>
      </c>
      <c r="C154" s="19" t="s">
        <v>40</v>
      </c>
      <c r="D154" s="19" t="s">
        <v>26</v>
      </c>
      <c r="E154" s="19" t="s">
        <v>232</v>
      </c>
      <c r="F154" s="19" t="s">
        <v>232</v>
      </c>
      <c r="G154" s="19" t="e">
        <f t="shared" si="19"/>
        <v>#VALUE!</v>
      </c>
      <c r="H154" s="37">
        <f t="shared" si="20"/>
        <v>0</v>
      </c>
      <c r="I154" s="24">
        <v>1100000</v>
      </c>
      <c r="J154" s="24">
        <v>33000</v>
      </c>
      <c r="K154" s="24">
        <f t="shared" si="21"/>
        <v>61875</v>
      </c>
      <c r="L154" s="24" t="e">
        <f t="shared" si="22"/>
        <v>#VALUE!</v>
      </c>
      <c r="M154" s="36">
        <f t="shared" si="23"/>
        <v>0</v>
      </c>
      <c r="N154" s="24">
        <v>7783755597.3120575</v>
      </c>
      <c r="O154" s="24">
        <f t="shared" si="24"/>
        <v>116756333959.68086</v>
      </c>
      <c r="P154" s="23" t="e">
        <f t="shared" si="18"/>
        <v>#VALUE!</v>
      </c>
      <c r="Q154" s="23" t="e">
        <f t="shared" si="25"/>
        <v>#VALUE!</v>
      </c>
      <c r="R154" s="23" t="e">
        <f t="shared" si="26"/>
        <v>#VALUE!</v>
      </c>
    </row>
    <row r="155" spans="1:18" ht="15" customHeight="1" x14ac:dyDescent="0.25">
      <c r="A155" s="19" t="s">
        <v>331</v>
      </c>
      <c r="B155" s="19" t="s">
        <v>332</v>
      </c>
      <c r="C155" s="19" t="s">
        <v>45</v>
      </c>
      <c r="D155" s="19" t="s">
        <v>19</v>
      </c>
      <c r="E155" s="19">
        <v>406122.1</v>
      </c>
      <c r="F155" s="21">
        <v>67.408299129744506</v>
      </c>
      <c r="G155" s="19">
        <f t="shared" si="19"/>
        <v>132362.09999999986</v>
      </c>
      <c r="H155" s="37">
        <f t="shared" si="20"/>
        <v>132362.09999999986</v>
      </c>
      <c r="I155" s="24" t="s">
        <v>232</v>
      </c>
      <c r="J155" s="24" t="s">
        <v>232</v>
      </c>
      <c r="K155" s="24" t="e">
        <f t="shared" si="21"/>
        <v>#VALUE!</v>
      </c>
      <c r="L155" s="24" t="e">
        <f t="shared" si="22"/>
        <v>#VALUE!</v>
      </c>
      <c r="M155" s="36">
        <f t="shared" si="23"/>
        <v>0</v>
      </c>
      <c r="N155" s="24">
        <v>8848984711.9180393</v>
      </c>
      <c r="O155" s="24">
        <f t="shared" si="24"/>
        <v>132734770678.77058</v>
      </c>
      <c r="P155" s="23" t="e">
        <f t="shared" si="18"/>
        <v>#VALUE!</v>
      </c>
      <c r="Q155" s="23" t="e">
        <f t="shared" si="25"/>
        <v>#VALUE!</v>
      </c>
      <c r="R155" s="23" t="e">
        <f t="shared" si="26"/>
        <v>#VALUE!</v>
      </c>
    </row>
    <row r="156" spans="1:18" ht="15" customHeight="1" x14ac:dyDescent="0.25">
      <c r="A156" s="19" t="s">
        <v>333</v>
      </c>
      <c r="B156" s="19" t="s">
        <v>334</v>
      </c>
      <c r="C156" s="19" t="s">
        <v>45</v>
      </c>
      <c r="D156" s="19" t="s">
        <v>19</v>
      </c>
      <c r="E156" s="19">
        <v>21912</v>
      </c>
      <c r="F156" s="19" t="s">
        <v>232</v>
      </c>
      <c r="G156" s="19" t="e">
        <f t="shared" si="19"/>
        <v>#VALUE!</v>
      </c>
      <c r="H156" s="37">
        <f t="shared" si="20"/>
        <v>0</v>
      </c>
      <c r="I156" s="24" t="s">
        <v>232</v>
      </c>
      <c r="J156" s="24" t="s">
        <v>232</v>
      </c>
      <c r="K156" s="24" t="e">
        <f t="shared" si="21"/>
        <v>#VALUE!</v>
      </c>
      <c r="L156" s="24" t="e">
        <f t="shared" si="22"/>
        <v>#VALUE!</v>
      </c>
      <c r="M156" s="36">
        <f t="shared" si="23"/>
        <v>0</v>
      </c>
      <c r="N156" s="24">
        <v>1382577582.3167782</v>
      </c>
      <c r="O156" s="24">
        <f t="shared" si="24"/>
        <v>20738663734.751671</v>
      </c>
      <c r="P156" s="23" t="e">
        <f t="shared" si="18"/>
        <v>#VALUE!</v>
      </c>
      <c r="Q156" s="23" t="e">
        <f t="shared" si="25"/>
        <v>#VALUE!</v>
      </c>
      <c r="R156" s="23" t="e">
        <f t="shared" si="26"/>
        <v>#VALUE!</v>
      </c>
    </row>
    <row r="157" spans="1:18" s="31" customFormat="1" ht="15" customHeight="1" x14ac:dyDescent="0.25">
      <c r="A157" s="31" t="s">
        <v>335</v>
      </c>
      <c r="B157" s="31" t="s">
        <v>336</v>
      </c>
      <c r="C157" s="31" t="s">
        <v>29</v>
      </c>
      <c r="D157" s="31" t="s">
        <v>35</v>
      </c>
      <c r="E157" s="31">
        <v>26855.819</v>
      </c>
      <c r="F157" s="19" t="s">
        <v>232</v>
      </c>
      <c r="G157" s="19" t="e">
        <f t="shared" si="19"/>
        <v>#VALUE!</v>
      </c>
      <c r="H157" s="37">
        <f t="shared" si="20"/>
        <v>0</v>
      </c>
      <c r="I157" s="30">
        <v>1100000</v>
      </c>
      <c r="J157" s="30">
        <v>35000</v>
      </c>
      <c r="K157" s="24">
        <f t="shared" si="21"/>
        <v>65625</v>
      </c>
      <c r="L157" s="24" t="e">
        <f t="shared" si="22"/>
        <v>#VALUE!</v>
      </c>
      <c r="M157" s="36">
        <f t="shared" si="23"/>
        <v>0</v>
      </c>
      <c r="N157" s="30">
        <v>0</v>
      </c>
      <c r="O157" s="24">
        <f t="shared" si="24"/>
        <v>0</v>
      </c>
      <c r="P157" s="23" t="e">
        <f t="shared" si="18"/>
        <v>#VALUE!</v>
      </c>
      <c r="Q157" s="23" t="e">
        <f t="shared" si="25"/>
        <v>#VALUE!</v>
      </c>
      <c r="R157" s="23" t="e">
        <f t="shared" si="26"/>
        <v>#VALUE!</v>
      </c>
    </row>
    <row r="158" spans="1:18" ht="15" customHeight="1" x14ac:dyDescent="0.25">
      <c r="A158" s="19" t="s">
        <v>337</v>
      </c>
      <c r="B158" s="19" t="s">
        <v>338</v>
      </c>
      <c r="C158" s="19" t="s">
        <v>29</v>
      </c>
      <c r="D158" s="19" t="s">
        <v>22</v>
      </c>
      <c r="E158" s="19">
        <v>9830</v>
      </c>
      <c r="F158" s="19" t="s">
        <v>232</v>
      </c>
      <c r="G158" s="19" t="e">
        <f t="shared" si="19"/>
        <v>#VALUE!</v>
      </c>
      <c r="H158" s="37">
        <f t="shared" si="20"/>
        <v>0</v>
      </c>
      <c r="I158" s="24">
        <v>1000000</v>
      </c>
      <c r="J158" s="24">
        <v>30000</v>
      </c>
      <c r="K158" s="24">
        <f t="shared" si="21"/>
        <v>56250</v>
      </c>
      <c r="L158" s="24" t="e">
        <f t="shared" si="22"/>
        <v>#VALUE!</v>
      </c>
      <c r="M158" s="36">
        <f t="shared" si="23"/>
        <v>0</v>
      </c>
      <c r="N158" s="24">
        <v>36198411498.324532</v>
      </c>
      <c r="O158" s="24">
        <f t="shared" si="24"/>
        <v>542976172474.86798</v>
      </c>
      <c r="P158" s="23" t="e">
        <f t="shared" si="18"/>
        <v>#VALUE!</v>
      </c>
      <c r="Q158" s="23" t="e">
        <f t="shared" si="25"/>
        <v>#VALUE!</v>
      </c>
      <c r="R158" s="23" t="e">
        <f t="shared" si="26"/>
        <v>#VALUE!</v>
      </c>
    </row>
    <row r="159" spans="1:18" ht="15" customHeight="1" x14ac:dyDescent="0.25">
      <c r="A159" s="19" t="s">
        <v>339</v>
      </c>
      <c r="B159" s="19" t="s">
        <v>340</v>
      </c>
      <c r="C159" s="19" t="s">
        <v>18</v>
      </c>
      <c r="D159" s="19" t="s">
        <v>19</v>
      </c>
      <c r="E159" s="19">
        <v>109391</v>
      </c>
      <c r="F159" s="19" t="s">
        <v>232</v>
      </c>
      <c r="G159" s="19" t="e">
        <f t="shared" si="19"/>
        <v>#VALUE!</v>
      </c>
      <c r="H159" s="37">
        <f t="shared" si="20"/>
        <v>0</v>
      </c>
      <c r="I159" s="24">
        <v>1100000</v>
      </c>
      <c r="J159" s="24">
        <v>33000</v>
      </c>
      <c r="K159" s="24">
        <f t="shared" si="21"/>
        <v>61875</v>
      </c>
      <c r="L159" s="24" t="e">
        <f t="shared" si="22"/>
        <v>#VALUE!</v>
      </c>
      <c r="M159" s="36">
        <f t="shared" si="23"/>
        <v>0</v>
      </c>
      <c r="N159" s="24">
        <v>4151541416.0069842</v>
      </c>
      <c r="O159" s="24">
        <f t="shared" si="24"/>
        <v>62273121240.104767</v>
      </c>
      <c r="P159" s="23" t="e">
        <f t="shared" si="18"/>
        <v>#VALUE!</v>
      </c>
      <c r="Q159" s="23" t="e">
        <f t="shared" si="25"/>
        <v>#VALUE!</v>
      </c>
      <c r="R159" s="23" t="e">
        <f t="shared" si="26"/>
        <v>#VALUE!</v>
      </c>
    </row>
    <row r="160" spans="1:18" ht="15" customHeight="1" x14ac:dyDescent="0.25">
      <c r="A160" s="19" t="s">
        <v>341</v>
      </c>
      <c r="B160" s="19" t="s">
        <v>342</v>
      </c>
      <c r="C160" s="19" t="s">
        <v>29</v>
      </c>
      <c r="D160" s="19" t="s">
        <v>19</v>
      </c>
      <c r="E160" s="19">
        <v>1004000</v>
      </c>
      <c r="F160" s="19" t="s">
        <v>232</v>
      </c>
      <c r="G160" s="19" t="e">
        <f t="shared" si="19"/>
        <v>#VALUE!</v>
      </c>
      <c r="H160" s="37">
        <f t="shared" si="20"/>
        <v>0</v>
      </c>
      <c r="I160" s="24">
        <v>1100000</v>
      </c>
      <c r="J160" s="24">
        <v>33000</v>
      </c>
      <c r="K160" s="24">
        <f t="shared" si="21"/>
        <v>61875</v>
      </c>
      <c r="L160" s="24" t="e">
        <f t="shared" si="22"/>
        <v>#VALUE!</v>
      </c>
      <c r="M160" s="36">
        <f t="shared" si="23"/>
        <v>0</v>
      </c>
      <c r="N160" s="24">
        <v>321602181004.87122</v>
      </c>
      <c r="O160" s="24">
        <f t="shared" si="24"/>
        <v>4824032715073.0684</v>
      </c>
      <c r="P160" s="23" t="e">
        <f t="shared" si="18"/>
        <v>#VALUE!</v>
      </c>
      <c r="Q160" s="23" t="e">
        <f t="shared" si="25"/>
        <v>#VALUE!</v>
      </c>
      <c r="R160" s="23" t="e">
        <f t="shared" si="26"/>
        <v>#VALUE!</v>
      </c>
    </row>
    <row r="161" spans="1:18" ht="15" customHeight="1" x14ac:dyDescent="0.25">
      <c r="A161" s="19" t="s">
        <v>343</v>
      </c>
      <c r="B161" s="19" t="s">
        <v>344</v>
      </c>
      <c r="C161" s="19" t="s">
        <v>14</v>
      </c>
      <c r="D161" s="19" t="s">
        <v>32</v>
      </c>
      <c r="E161" s="19" t="s">
        <v>232</v>
      </c>
      <c r="F161" s="19" t="s">
        <v>232</v>
      </c>
      <c r="G161" s="19" t="e">
        <f t="shared" si="19"/>
        <v>#VALUE!</v>
      </c>
      <c r="H161" s="37">
        <f t="shared" si="20"/>
        <v>0</v>
      </c>
      <c r="I161" s="24">
        <v>1200000</v>
      </c>
      <c r="J161" s="24">
        <v>35000</v>
      </c>
      <c r="K161" s="24">
        <f t="shared" si="21"/>
        <v>65625</v>
      </c>
      <c r="L161" s="24" t="e">
        <f t="shared" si="22"/>
        <v>#VALUE!</v>
      </c>
      <c r="M161" s="36">
        <f t="shared" si="23"/>
        <v>0</v>
      </c>
      <c r="N161" s="24">
        <v>374942592.12015301</v>
      </c>
      <c r="O161" s="24">
        <f t="shared" si="24"/>
        <v>5624138881.8022947</v>
      </c>
      <c r="P161" s="23" t="e">
        <f t="shared" si="18"/>
        <v>#VALUE!</v>
      </c>
      <c r="Q161" s="23" t="e">
        <f t="shared" si="25"/>
        <v>#VALUE!</v>
      </c>
      <c r="R161" s="23" t="e">
        <f t="shared" si="26"/>
        <v>#VALUE!</v>
      </c>
    </row>
    <row r="162" spans="1:18" ht="15" customHeight="1" x14ac:dyDescent="0.25">
      <c r="A162" s="19" t="s">
        <v>345</v>
      </c>
      <c r="B162" s="19" t="s">
        <v>346</v>
      </c>
      <c r="C162" s="19" t="s">
        <v>40</v>
      </c>
      <c r="D162" s="19" t="s">
        <v>26</v>
      </c>
      <c r="E162" s="19" t="s">
        <v>232</v>
      </c>
      <c r="F162" s="19" t="s">
        <v>232</v>
      </c>
      <c r="G162" s="19" t="e">
        <f t="shared" si="19"/>
        <v>#VALUE!</v>
      </c>
      <c r="H162" s="37">
        <f t="shared" si="20"/>
        <v>0</v>
      </c>
      <c r="I162" s="24" t="s">
        <v>232</v>
      </c>
      <c r="J162" s="24" t="s">
        <v>232</v>
      </c>
      <c r="K162" s="24" t="e">
        <f t="shared" si="21"/>
        <v>#VALUE!</v>
      </c>
      <c r="L162" s="24" t="e">
        <f t="shared" si="22"/>
        <v>#VALUE!</v>
      </c>
      <c r="M162" s="36">
        <f t="shared" si="23"/>
        <v>0</v>
      </c>
      <c r="N162" s="24">
        <v>4184944.6022272655</v>
      </c>
      <c r="O162" s="24">
        <f t="shared" si="24"/>
        <v>62774169.033408985</v>
      </c>
      <c r="P162" s="23" t="e">
        <f t="shared" si="18"/>
        <v>#VALUE!</v>
      </c>
      <c r="Q162" s="23" t="e">
        <f t="shared" si="25"/>
        <v>#VALUE!</v>
      </c>
      <c r="R162" s="23" t="e">
        <f t="shared" si="26"/>
        <v>#VALUE!</v>
      </c>
    </row>
    <row r="163" spans="1:18" ht="15" customHeight="1" x14ac:dyDescent="0.25">
      <c r="A163" s="19" t="s">
        <v>347</v>
      </c>
      <c r="B163" s="19" t="s">
        <v>348</v>
      </c>
      <c r="C163" s="19" t="s">
        <v>29</v>
      </c>
      <c r="D163" s="19" t="s">
        <v>19</v>
      </c>
      <c r="E163" s="19" t="s">
        <v>232</v>
      </c>
      <c r="F163" s="19" t="s">
        <v>232</v>
      </c>
      <c r="G163" s="19" t="e">
        <f t="shared" si="19"/>
        <v>#VALUE!</v>
      </c>
      <c r="H163" s="37">
        <f t="shared" si="20"/>
        <v>0</v>
      </c>
      <c r="I163" s="24" t="s">
        <v>232</v>
      </c>
      <c r="J163" s="24" t="s">
        <v>232</v>
      </c>
      <c r="K163" s="24" t="e">
        <f t="shared" si="21"/>
        <v>#VALUE!</v>
      </c>
      <c r="L163" s="24" t="e">
        <f t="shared" si="22"/>
        <v>#VALUE!</v>
      </c>
      <c r="M163" s="36">
        <f t="shared" si="23"/>
        <v>0</v>
      </c>
      <c r="N163" s="24" t="s">
        <v>232</v>
      </c>
      <c r="O163" s="24" t="e">
        <f t="shared" si="24"/>
        <v>#VALUE!</v>
      </c>
      <c r="P163" s="23" t="e">
        <f t="shared" si="18"/>
        <v>#VALUE!</v>
      </c>
      <c r="Q163" s="23" t="e">
        <f t="shared" si="25"/>
        <v>#VALUE!</v>
      </c>
      <c r="R163" s="23" t="e">
        <f t="shared" si="26"/>
        <v>#VALUE!</v>
      </c>
    </row>
    <row r="164" spans="1:18" ht="15" customHeight="1" x14ac:dyDescent="0.25">
      <c r="A164" s="19" t="s">
        <v>349</v>
      </c>
      <c r="B164" s="19" t="s">
        <v>350</v>
      </c>
      <c r="C164" s="19" t="s">
        <v>40</v>
      </c>
      <c r="D164" s="19" t="s">
        <v>32</v>
      </c>
      <c r="E164" s="19" t="s">
        <v>232</v>
      </c>
      <c r="F164" s="19" t="s">
        <v>232</v>
      </c>
      <c r="G164" s="19" t="e">
        <f t="shared" si="19"/>
        <v>#VALUE!</v>
      </c>
      <c r="H164" s="37">
        <f t="shared" si="20"/>
        <v>0</v>
      </c>
      <c r="I164" s="24">
        <v>1200000</v>
      </c>
      <c r="J164" s="24">
        <v>35000</v>
      </c>
      <c r="K164" s="24">
        <f t="shared" si="21"/>
        <v>65625</v>
      </c>
      <c r="L164" s="24" t="e">
        <f t="shared" si="22"/>
        <v>#VALUE!</v>
      </c>
      <c r="M164" s="36">
        <f t="shared" si="23"/>
        <v>0</v>
      </c>
      <c r="N164" s="24">
        <v>6448878.1292010797</v>
      </c>
      <c r="O164" s="24">
        <f t="shared" si="24"/>
        <v>96733171.938016191</v>
      </c>
      <c r="P164" s="23" t="e">
        <f t="shared" si="18"/>
        <v>#VALUE!</v>
      </c>
      <c r="Q164" s="23" t="e">
        <f t="shared" si="25"/>
        <v>#VALUE!</v>
      </c>
      <c r="R164" s="23" t="e">
        <f t="shared" si="26"/>
        <v>#VALUE!</v>
      </c>
    </row>
    <row r="165" spans="1:18" ht="15" customHeight="1" x14ac:dyDescent="0.25">
      <c r="A165" s="19" t="s">
        <v>351</v>
      </c>
      <c r="B165" s="19" t="s">
        <v>352</v>
      </c>
      <c r="C165" s="19" t="s">
        <v>29</v>
      </c>
      <c r="D165" s="19" t="s">
        <v>22</v>
      </c>
      <c r="E165" s="19" t="s">
        <v>232</v>
      </c>
      <c r="F165" s="19" t="s">
        <v>232</v>
      </c>
      <c r="G165" s="19" t="e">
        <f t="shared" si="19"/>
        <v>#VALUE!</v>
      </c>
      <c r="H165" s="37">
        <f t="shared" si="20"/>
        <v>0</v>
      </c>
      <c r="I165" s="24">
        <v>1000000</v>
      </c>
      <c r="J165" s="24">
        <v>30000</v>
      </c>
      <c r="K165" s="24">
        <f t="shared" si="21"/>
        <v>56250</v>
      </c>
      <c r="L165" s="24" t="e">
        <f t="shared" si="22"/>
        <v>#VALUE!</v>
      </c>
      <c r="M165" s="36">
        <f t="shared" si="23"/>
        <v>0</v>
      </c>
      <c r="N165" s="24">
        <v>227429658719.18033</v>
      </c>
      <c r="O165" s="24">
        <f t="shared" si="24"/>
        <v>3411444880787.7051</v>
      </c>
      <c r="P165" s="23" t="e">
        <f t="shared" si="18"/>
        <v>#VALUE!</v>
      </c>
      <c r="Q165" s="23" t="e">
        <f t="shared" si="25"/>
        <v>#VALUE!</v>
      </c>
      <c r="R165" s="23" t="e">
        <f t="shared" si="26"/>
        <v>#VALUE!</v>
      </c>
    </row>
    <row r="166" spans="1:18" ht="15" customHeight="1" x14ac:dyDescent="0.25">
      <c r="A166" s="19" t="s">
        <v>353</v>
      </c>
      <c r="B166" s="19" t="s">
        <v>354</v>
      </c>
      <c r="C166" s="19" t="s">
        <v>40</v>
      </c>
      <c r="D166" s="19" t="s">
        <v>32</v>
      </c>
      <c r="E166" s="19">
        <v>14785.1</v>
      </c>
      <c r="F166" s="21">
        <v>35.5</v>
      </c>
      <c r="G166" s="19">
        <f t="shared" si="19"/>
        <v>9536.3895000000011</v>
      </c>
      <c r="H166" s="37">
        <f t="shared" si="20"/>
        <v>9536.3895000000011</v>
      </c>
      <c r="I166" s="24">
        <v>1200000</v>
      </c>
      <c r="J166" s="24">
        <v>35000</v>
      </c>
      <c r="K166" s="24">
        <f t="shared" si="21"/>
        <v>65625</v>
      </c>
      <c r="L166" s="24">
        <f t="shared" si="22"/>
        <v>12069492960.937502</v>
      </c>
      <c r="M166" s="36">
        <f t="shared" si="23"/>
        <v>12069492960.937502</v>
      </c>
      <c r="N166" s="24">
        <v>551591058.22012687</v>
      </c>
      <c r="O166" s="24">
        <f t="shared" si="24"/>
        <v>8273865873.3019028</v>
      </c>
      <c r="P166" s="23">
        <f t="shared" si="18"/>
        <v>1.4587489265306224</v>
      </c>
      <c r="Q166" s="23">
        <f t="shared" si="25"/>
        <v>0.48624964217687416</v>
      </c>
      <c r="R166" s="23">
        <f t="shared" si="26"/>
        <v>4.3762467795918676</v>
      </c>
    </row>
    <row r="167" spans="1:18" ht="15" customHeight="1" x14ac:dyDescent="0.25">
      <c r="A167" s="19" t="s">
        <v>355</v>
      </c>
      <c r="B167" s="19" t="s">
        <v>356</v>
      </c>
      <c r="C167" s="19" t="s">
        <v>18</v>
      </c>
      <c r="D167" s="19" t="s">
        <v>19</v>
      </c>
      <c r="E167" s="19">
        <v>43753</v>
      </c>
      <c r="F167" s="21">
        <v>62.859689621283103</v>
      </c>
      <c r="G167" s="19">
        <f t="shared" si="19"/>
        <v>16250.000000000005</v>
      </c>
      <c r="H167" s="37">
        <f t="shared" si="20"/>
        <v>16250.000000000005</v>
      </c>
      <c r="I167" s="24">
        <v>1100000</v>
      </c>
      <c r="J167" s="24">
        <v>33000</v>
      </c>
      <c r="K167" s="24">
        <f t="shared" si="21"/>
        <v>61875</v>
      </c>
      <c r="L167" s="24">
        <f t="shared" si="22"/>
        <v>18880468750.000008</v>
      </c>
      <c r="M167" s="36">
        <f t="shared" si="23"/>
        <v>18880468750.000008</v>
      </c>
      <c r="N167" s="24">
        <v>1253506714.6213751</v>
      </c>
      <c r="O167" s="24">
        <f t="shared" si="24"/>
        <v>18802600719.320625</v>
      </c>
      <c r="P167" s="23">
        <f t="shared" si="18"/>
        <v>1.0041413436280318</v>
      </c>
      <c r="Q167" s="23">
        <f t="shared" si="25"/>
        <v>0.33471378120934392</v>
      </c>
      <c r="R167" s="23">
        <f t="shared" si="26"/>
        <v>3.012424030884095</v>
      </c>
    </row>
    <row r="168" spans="1:18" ht="15" customHeight="1" x14ac:dyDescent="0.25">
      <c r="A168" s="19" t="s">
        <v>357</v>
      </c>
      <c r="B168" s="19" t="s">
        <v>358</v>
      </c>
      <c r="C168" s="19" t="s">
        <v>18</v>
      </c>
      <c r="D168" s="19" t="s">
        <v>32</v>
      </c>
      <c r="E168" s="19">
        <v>508</v>
      </c>
      <c r="F168" s="21">
        <v>96.456692913385794</v>
      </c>
      <c r="G168" s="19">
        <f t="shared" si="19"/>
        <v>18.000000000000192</v>
      </c>
      <c r="H168" s="37">
        <f t="shared" si="20"/>
        <v>18.000000000000192</v>
      </c>
      <c r="I168" s="24">
        <v>1200000</v>
      </c>
      <c r="J168" s="24">
        <v>35000</v>
      </c>
      <c r="K168" s="24">
        <f t="shared" si="21"/>
        <v>65625</v>
      </c>
      <c r="L168" s="24">
        <f t="shared" si="22"/>
        <v>22781250.000000242</v>
      </c>
      <c r="M168" s="36">
        <f t="shared" si="23"/>
        <v>22781250.000000242</v>
      </c>
      <c r="N168" s="24">
        <v>1160995.7542812461</v>
      </c>
      <c r="O168" s="24">
        <f t="shared" si="24"/>
        <v>17414936.314218692</v>
      </c>
      <c r="P168" s="23">
        <f t="shared" si="18"/>
        <v>1.3081443187018802</v>
      </c>
      <c r="Q168" s="23">
        <f t="shared" si="25"/>
        <v>0.43604810623396001</v>
      </c>
      <c r="R168" s="23">
        <f t="shared" si="26"/>
        <v>3.9244329561056404</v>
      </c>
    </row>
    <row r="169" spans="1:18" ht="15" customHeight="1" x14ac:dyDescent="0.25">
      <c r="A169" s="19" t="s">
        <v>359</v>
      </c>
      <c r="B169" s="19" t="s">
        <v>360</v>
      </c>
      <c r="C169" s="19" t="s">
        <v>14</v>
      </c>
      <c r="D169" s="19" t="s">
        <v>32</v>
      </c>
      <c r="E169" s="19" t="s">
        <v>232</v>
      </c>
      <c r="F169" s="19" t="s">
        <v>232</v>
      </c>
      <c r="G169" s="19" t="e">
        <f t="shared" si="19"/>
        <v>#VALUE!</v>
      </c>
      <c r="H169" s="37">
        <f t="shared" si="20"/>
        <v>0</v>
      </c>
      <c r="I169" s="24">
        <v>1200000</v>
      </c>
      <c r="J169" s="24">
        <v>35000</v>
      </c>
      <c r="K169" s="24">
        <f t="shared" si="21"/>
        <v>65625</v>
      </c>
      <c r="L169" s="24" t="e">
        <f t="shared" si="22"/>
        <v>#VALUE!</v>
      </c>
      <c r="M169" s="36">
        <f t="shared" si="23"/>
        <v>0</v>
      </c>
      <c r="N169" s="24">
        <v>309951994.2008189</v>
      </c>
      <c r="O169" s="24">
        <f t="shared" si="24"/>
        <v>4649279913.0122833</v>
      </c>
      <c r="P169" s="23" t="e">
        <f t="shared" si="18"/>
        <v>#VALUE!</v>
      </c>
      <c r="Q169" s="23" t="e">
        <f t="shared" si="25"/>
        <v>#VALUE!</v>
      </c>
      <c r="R169" s="23" t="e">
        <f t="shared" si="26"/>
        <v>#VALUE!</v>
      </c>
    </row>
    <row r="170" spans="1:18" ht="15" customHeight="1" x14ac:dyDescent="0.25">
      <c r="A170" s="19" t="s">
        <v>361</v>
      </c>
      <c r="B170" s="19" t="s">
        <v>362</v>
      </c>
      <c r="C170" s="19" t="s">
        <v>29</v>
      </c>
      <c r="D170" s="19" t="s">
        <v>26</v>
      </c>
      <c r="E170" s="19">
        <v>3377</v>
      </c>
      <c r="F170" s="21">
        <v>100</v>
      </c>
      <c r="G170" s="19">
        <f t="shared" si="19"/>
        <v>0</v>
      </c>
      <c r="H170" s="37">
        <f t="shared" si="20"/>
        <v>0</v>
      </c>
      <c r="I170" s="24">
        <v>1100000</v>
      </c>
      <c r="J170" s="24">
        <v>33000</v>
      </c>
      <c r="K170" s="24">
        <f t="shared" si="21"/>
        <v>61875</v>
      </c>
      <c r="L170" s="24">
        <f t="shared" si="22"/>
        <v>0</v>
      </c>
      <c r="M170" s="36">
        <f t="shared" si="23"/>
        <v>0</v>
      </c>
      <c r="N170" s="24">
        <v>0</v>
      </c>
      <c r="O170" s="24">
        <f t="shared" si="24"/>
        <v>0</v>
      </c>
      <c r="P170" s="23" t="e">
        <f t="shared" si="18"/>
        <v>#DIV/0!</v>
      </c>
      <c r="Q170" s="23" t="e">
        <f t="shared" si="25"/>
        <v>#DIV/0!</v>
      </c>
      <c r="R170" s="23" t="e">
        <f t="shared" si="26"/>
        <v>#DIV/0!</v>
      </c>
    </row>
    <row r="171" spans="1:18" ht="15" customHeight="1" x14ac:dyDescent="0.25">
      <c r="A171" s="19" t="s">
        <v>363</v>
      </c>
      <c r="B171" s="19" t="s">
        <v>364</v>
      </c>
      <c r="C171" s="19" t="s">
        <v>29</v>
      </c>
      <c r="D171" s="19" t="s">
        <v>35</v>
      </c>
      <c r="E171" s="19" t="s">
        <v>232</v>
      </c>
      <c r="F171" s="19" t="s">
        <v>232</v>
      </c>
      <c r="G171" s="19" t="e">
        <f t="shared" si="19"/>
        <v>#VALUE!</v>
      </c>
      <c r="H171" s="37">
        <f t="shared" si="20"/>
        <v>0</v>
      </c>
      <c r="I171" s="24">
        <v>1100000</v>
      </c>
      <c r="J171" s="24">
        <v>35000</v>
      </c>
      <c r="K171" s="24">
        <f t="shared" si="21"/>
        <v>65625</v>
      </c>
      <c r="L171" s="24" t="e">
        <f t="shared" si="22"/>
        <v>#VALUE!</v>
      </c>
      <c r="M171" s="36">
        <f t="shared" si="23"/>
        <v>0</v>
      </c>
      <c r="N171" s="24" t="s">
        <v>232</v>
      </c>
      <c r="O171" s="24" t="e">
        <f t="shared" si="24"/>
        <v>#VALUE!</v>
      </c>
      <c r="P171" s="23" t="e">
        <f t="shared" si="18"/>
        <v>#VALUE!</v>
      </c>
      <c r="Q171" s="23" t="e">
        <f t="shared" si="25"/>
        <v>#VALUE!</v>
      </c>
      <c r="R171" s="23" t="e">
        <f t="shared" si="26"/>
        <v>#VALUE!</v>
      </c>
    </row>
    <row r="172" spans="1:18" ht="15" customHeight="1" x14ac:dyDescent="0.25">
      <c r="A172" s="19" t="s">
        <v>365</v>
      </c>
      <c r="B172" s="19" t="s">
        <v>366</v>
      </c>
      <c r="C172" s="19" t="s">
        <v>45</v>
      </c>
      <c r="D172" s="19" t="s">
        <v>19</v>
      </c>
      <c r="E172" s="19">
        <v>43325</v>
      </c>
      <c r="F172" s="21">
        <v>100</v>
      </c>
      <c r="G172" s="19">
        <f t="shared" si="19"/>
        <v>0</v>
      </c>
      <c r="H172" s="37">
        <f t="shared" si="20"/>
        <v>0</v>
      </c>
      <c r="I172" s="24" t="s">
        <v>232</v>
      </c>
      <c r="J172" s="24" t="s">
        <v>232</v>
      </c>
      <c r="K172" s="24" t="e">
        <f t="shared" si="21"/>
        <v>#VALUE!</v>
      </c>
      <c r="L172" s="24" t="e">
        <f t="shared" si="22"/>
        <v>#VALUE!</v>
      </c>
      <c r="M172" s="36">
        <f t="shared" si="23"/>
        <v>0</v>
      </c>
      <c r="N172" s="24">
        <v>586207377.22308779</v>
      </c>
      <c r="O172" s="24">
        <f t="shared" si="24"/>
        <v>8793110658.3463173</v>
      </c>
      <c r="P172" s="23" t="e">
        <f t="shared" si="18"/>
        <v>#VALUE!</v>
      </c>
      <c r="Q172" s="23" t="e">
        <f t="shared" si="25"/>
        <v>#VALUE!</v>
      </c>
      <c r="R172" s="23" t="e">
        <f t="shared" si="26"/>
        <v>#VALUE!</v>
      </c>
    </row>
    <row r="173" spans="1:18" ht="15" customHeight="1" x14ac:dyDescent="0.25">
      <c r="A173" s="19" t="s">
        <v>367</v>
      </c>
      <c r="B173" s="19" t="s">
        <v>368</v>
      </c>
      <c r="C173" s="19" t="s">
        <v>45</v>
      </c>
      <c r="D173" s="19" t="s">
        <v>19</v>
      </c>
      <c r="E173" s="19">
        <v>39069</v>
      </c>
      <c r="F173" s="21">
        <v>100</v>
      </c>
      <c r="G173" s="19">
        <f t="shared" si="19"/>
        <v>0</v>
      </c>
      <c r="H173" s="37">
        <f t="shared" si="20"/>
        <v>0</v>
      </c>
      <c r="I173" s="24" t="s">
        <v>232</v>
      </c>
      <c r="J173" s="24" t="s">
        <v>232</v>
      </c>
      <c r="K173" s="24" t="e">
        <f t="shared" si="21"/>
        <v>#VALUE!</v>
      </c>
      <c r="L173" s="24" t="e">
        <f t="shared" si="22"/>
        <v>#VALUE!</v>
      </c>
      <c r="M173" s="36">
        <f t="shared" si="23"/>
        <v>0</v>
      </c>
      <c r="N173" s="24">
        <v>179102965.90790325</v>
      </c>
      <c r="O173" s="24">
        <f t="shared" si="24"/>
        <v>2686544488.6185489</v>
      </c>
      <c r="P173" s="23" t="e">
        <f t="shared" si="18"/>
        <v>#VALUE!</v>
      </c>
      <c r="Q173" s="23" t="e">
        <f t="shared" si="25"/>
        <v>#VALUE!</v>
      </c>
      <c r="R173" s="23" t="e">
        <f t="shared" si="26"/>
        <v>#VALUE!</v>
      </c>
    </row>
    <row r="174" spans="1:18" ht="15" customHeight="1" x14ac:dyDescent="0.25">
      <c r="A174" s="19" t="s">
        <v>369</v>
      </c>
      <c r="B174" s="19" t="s">
        <v>370</v>
      </c>
      <c r="C174" s="19" t="s">
        <v>40</v>
      </c>
      <c r="D174" s="19" t="s">
        <v>26</v>
      </c>
      <c r="E174" s="19" t="s">
        <v>232</v>
      </c>
      <c r="F174" s="19" t="s">
        <v>232</v>
      </c>
      <c r="G174" s="19" t="e">
        <f t="shared" si="19"/>
        <v>#VALUE!</v>
      </c>
      <c r="H174" s="37">
        <f t="shared" si="20"/>
        <v>0</v>
      </c>
      <c r="I174" s="24" t="s">
        <v>232</v>
      </c>
      <c r="J174" s="24" t="s">
        <v>232</v>
      </c>
      <c r="K174" s="24" t="e">
        <f t="shared" si="21"/>
        <v>#VALUE!</v>
      </c>
      <c r="L174" s="24" t="e">
        <f t="shared" si="22"/>
        <v>#VALUE!</v>
      </c>
      <c r="M174" s="36">
        <f t="shared" si="23"/>
        <v>0</v>
      </c>
      <c r="N174" s="24">
        <v>177911447.47763148</v>
      </c>
      <c r="O174" s="24">
        <f t="shared" si="24"/>
        <v>2668671712.1644721</v>
      </c>
      <c r="P174" s="23" t="e">
        <f t="shared" si="18"/>
        <v>#VALUE!</v>
      </c>
      <c r="Q174" s="23" t="e">
        <f t="shared" si="25"/>
        <v>#VALUE!</v>
      </c>
      <c r="R174" s="23" t="e">
        <f t="shared" si="26"/>
        <v>#VALUE!</v>
      </c>
    </row>
    <row r="175" spans="1:18" x14ac:dyDescent="0.25">
      <c r="A175" s="19" t="s">
        <v>371</v>
      </c>
      <c r="B175" s="19" t="s">
        <v>372</v>
      </c>
      <c r="C175" s="19" t="s">
        <v>14</v>
      </c>
      <c r="D175" s="19" t="s">
        <v>32</v>
      </c>
      <c r="E175" s="19" t="s">
        <v>232</v>
      </c>
      <c r="F175" s="19" t="s">
        <v>232</v>
      </c>
      <c r="G175" s="19" t="e">
        <f t="shared" si="19"/>
        <v>#VALUE!</v>
      </c>
      <c r="H175" s="37">
        <f t="shared" si="20"/>
        <v>0</v>
      </c>
      <c r="I175" s="24">
        <v>1200000</v>
      </c>
      <c r="J175" s="24">
        <v>35000</v>
      </c>
      <c r="K175" s="24">
        <f t="shared" si="21"/>
        <v>65625</v>
      </c>
      <c r="L175" s="24" t="e">
        <f t="shared" si="22"/>
        <v>#VALUE!</v>
      </c>
      <c r="M175" s="36">
        <f t="shared" si="23"/>
        <v>0</v>
      </c>
      <c r="N175" s="24" t="s">
        <v>232</v>
      </c>
      <c r="O175" s="24" t="e">
        <f t="shared" si="24"/>
        <v>#VALUE!</v>
      </c>
      <c r="P175" s="23" t="e">
        <f t="shared" si="18"/>
        <v>#VALUE!</v>
      </c>
      <c r="Q175" s="23" t="e">
        <f t="shared" si="25"/>
        <v>#VALUE!</v>
      </c>
      <c r="R175" s="23" t="e">
        <f t="shared" si="26"/>
        <v>#VALUE!</v>
      </c>
    </row>
    <row r="176" spans="1:18" ht="15" customHeight="1" x14ac:dyDescent="0.25">
      <c r="A176" s="19" t="s">
        <v>373</v>
      </c>
      <c r="B176" s="19" t="s">
        <v>374</v>
      </c>
      <c r="C176" s="19" t="s">
        <v>18</v>
      </c>
      <c r="D176" s="19" t="s">
        <v>32</v>
      </c>
      <c r="E176" s="19" t="s">
        <v>232</v>
      </c>
      <c r="F176" s="19" t="s">
        <v>232</v>
      </c>
      <c r="G176" s="19" t="e">
        <f t="shared" si="19"/>
        <v>#VALUE!</v>
      </c>
      <c r="H176" s="37">
        <f t="shared" si="20"/>
        <v>0</v>
      </c>
      <c r="I176" s="24">
        <v>1200000</v>
      </c>
      <c r="J176" s="24">
        <v>35000</v>
      </c>
      <c r="K176" s="24">
        <f t="shared" si="21"/>
        <v>65625</v>
      </c>
      <c r="L176" s="24" t="e">
        <f t="shared" si="22"/>
        <v>#VALUE!</v>
      </c>
      <c r="M176" s="36">
        <f t="shared" si="23"/>
        <v>0</v>
      </c>
      <c r="N176" s="24">
        <v>29273625097.571095</v>
      </c>
      <c r="O176" s="24">
        <f t="shared" si="24"/>
        <v>439104376463.56641</v>
      </c>
      <c r="P176" s="23" t="e">
        <f t="shared" si="18"/>
        <v>#VALUE!</v>
      </c>
      <c r="Q176" s="23" t="e">
        <f t="shared" si="25"/>
        <v>#VALUE!</v>
      </c>
      <c r="R176" s="23" t="e">
        <f t="shared" si="26"/>
        <v>#VALUE!</v>
      </c>
    </row>
    <row r="177" spans="1:18" s="31" customFormat="1" ht="15" customHeight="1" x14ac:dyDescent="0.25">
      <c r="A177" s="31" t="s">
        <v>375</v>
      </c>
      <c r="B177" s="31" t="s">
        <v>376</v>
      </c>
      <c r="C177" s="31" t="s">
        <v>14</v>
      </c>
      <c r="D177" s="31" t="s">
        <v>32</v>
      </c>
      <c r="E177" s="19" t="s">
        <v>232</v>
      </c>
      <c r="F177" s="19" t="s">
        <v>232</v>
      </c>
      <c r="G177" s="19" t="e">
        <f t="shared" si="19"/>
        <v>#VALUE!</v>
      </c>
      <c r="H177" s="37">
        <f t="shared" si="20"/>
        <v>0</v>
      </c>
      <c r="I177" s="30">
        <v>1200000</v>
      </c>
      <c r="J177" s="30">
        <v>35000</v>
      </c>
      <c r="K177" s="24">
        <f t="shared" si="21"/>
        <v>65625</v>
      </c>
      <c r="L177" s="24" t="e">
        <f t="shared" si="22"/>
        <v>#VALUE!</v>
      </c>
      <c r="M177" s="36">
        <f t="shared" si="23"/>
        <v>0</v>
      </c>
      <c r="N177" s="30">
        <v>0</v>
      </c>
      <c r="O177" s="24">
        <f t="shared" si="24"/>
        <v>0</v>
      </c>
      <c r="P177" s="23" t="e">
        <f t="shared" si="18"/>
        <v>#VALUE!</v>
      </c>
      <c r="Q177" s="23" t="e">
        <f t="shared" si="25"/>
        <v>#VALUE!</v>
      </c>
      <c r="R177" s="23" t="e">
        <f t="shared" si="26"/>
        <v>#VALUE!</v>
      </c>
    </row>
    <row r="178" spans="1:18" ht="15" customHeight="1" x14ac:dyDescent="0.25">
      <c r="A178" s="19" t="s">
        <v>377</v>
      </c>
      <c r="B178" s="19" t="s">
        <v>378</v>
      </c>
      <c r="C178" s="19" t="s">
        <v>45</v>
      </c>
      <c r="D178" s="19" t="s">
        <v>19</v>
      </c>
      <c r="E178" s="19">
        <v>666840</v>
      </c>
      <c r="F178" s="19" t="s">
        <v>232</v>
      </c>
      <c r="G178" s="19" t="e">
        <f t="shared" si="19"/>
        <v>#VALUE!</v>
      </c>
      <c r="H178" s="37">
        <f t="shared" si="20"/>
        <v>0</v>
      </c>
      <c r="I178" s="24" t="s">
        <v>232</v>
      </c>
      <c r="J178" s="24" t="s">
        <v>232</v>
      </c>
      <c r="K178" s="24" t="e">
        <f t="shared" si="21"/>
        <v>#VALUE!</v>
      </c>
      <c r="L178" s="24" t="e">
        <f t="shared" si="22"/>
        <v>#VALUE!</v>
      </c>
      <c r="M178" s="36">
        <f t="shared" si="23"/>
        <v>0</v>
      </c>
      <c r="N178" s="24">
        <v>2120296778.8542163</v>
      </c>
      <c r="O178" s="24">
        <f t="shared" si="24"/>
        <v>31804451682.813244</v>
      </c>
      <c r="P178" s="23" t="e">
        <f t="shared" si="18"/>
        <v>#VALUE!</v>
      </c>
      <c r="Q178" s="23" t="e">
        <f t="shared" si="25"/>
        <v>#VALUE!</v>
      </c>
      <c r="R178" s="23" t="e">
        <f t="shared" si="26"/>
        <v>#VALUE!</v>
      </c>
    </row>
    <row r="179" spans="1:18" ht="15" customHeight="1" x14ac:dyDescent="0.25">
      <c r="A179" s="19" t="s">
        <v>379</v>
      </c>
      <c r="B179" s="19" t="s">
        <v>380</v>
      </c>
      <c r="C179" s="19" t="s">
        <v>40</v>
      </c>
      <c r="D179" s="19" t="s">
        <v>15</v>
      </c>
      <c r="E179" s="19">
        <v>114093</v>
      </c>
      <c r="F179" s="21">
        <v>14.876460431402499</v>
      </c>
      <c r="G179" s="19">
        <f t="shared" si="19"/>
        <v>97119.999999999956</v>
      </c>
      <c r="H179" s="37">
        <f t="shared" si="20"/>
        <v>97119.999999999956</v>
      </c>
      <c r="I179" s="24">
        <v>1100000</v>
      </c>
      <c r="J179" s="24">
        <v>33000</v>
      </c>
      <c r="K179" s="24">
        <f t="shared" si="21"/>
        <v>61875</v>
      </c>
      <c r="L179" s="24">
        <f t="shared" si="22"/>
        <v>112841299999.99995</v>
      </c>
      <c r="M179" s="36">
        <f t="shared" si="23"/>
        <v>112841299999.99995</v>
      </c>
      <c r="N179" s="24">
        <v>464220477.24420649</v>
      </c>
      <c r="O179" s="24">
        <f t="shared" si="24"/>
        <v>6963307158.6630974</v>
      </c>
      <c r="P179" s="23">
        <f t="shared" si="18"/>
        <v>16.205130325123363</v>
      </c>
      <c r="Q179" s="23">
        <f t="shared" si="25"/>
        <v>5.4017101083744539</v>
      </c>
      <c r="R179" s="23">
        <f t="shared" si="26"/>
        <v>48.61539097537009</v>
      </c>
    </row>
    <row r="180" spans="1:18" s="31" customFormat="1" ht="15" customHeight="1" x14ac:dyDescent="0.25">
      <c r="A180" s="31" t="s">
        <v>381</v>
      </c>
      <c r="B180" s="31" t="s">
        <v>382</v>
      </c>
      <c r="C180" s="31" t="s">
        <v>29</v>
      </c>
      <c r="D180" s="31" t="s">
        <v>35</v>
      </c>
      <c r="E180" s="19" t="s">
        <v>232</v>
      </c>
      <c r="F180" s="19" t="s">
        <v>232</v>
      </c>
      <c r="G180" s="19" t="e">
        <f t="shared" si="19"/>
        <v>#VALUE!</v>
      </c>
      <c r="H180" s="37">
        <f t="shared" si="20"/>
        <v>0</v>
      </c>
      <c r="I180" s="30">
        <v>1100000</v>
      </c>
      <c r="J180" s="30">
        <v>35000</v>
      </c>
      <c r="K180" s="24">
        <f t="shared" si="21"/>
        <v>65625</v>
      </c>
      <c r="L180" s="24" t="e">
        <f t="shared" si="22"/>
        <v>#VALUE!</v>
      </c>
      <c r="M180" s="36">
        <f t="shared" si="23"/>
        <v>0</v>
      </c>
      <c r="N180" s="30">
        <v>0</v>
      </c>
      <c r="O180" s="24">
        <f t="shared" si="24"/>
        <v>0</v>
      </c>
      <c r="P180" s="23" t="e">
        <f t="shared" si="18"/>
        <v>#VALUE!</v>
      </c>
      <c r="Q180" s="23" t="e">
        <f t="shared" si="25"/>
        <v>#VALUE!</v>
      </c>
      <c r="R180" s="23" t="e">
        <f t="shared" si="26"/>
        <v>#VALUE!</v>
      </c>
    </row>
    <row r="181" spans="1:18" ht="15" customHeight="1" x14ac:dyDescent="0.25">
      <c r="A181" s="19" t="s">
        <v>383</v>
      </c>
      <c r="B181" s="19" t="s">
        <v>384</v>
      </c>
      <c r="C181" s="19" t="s">
        <v>18</v>
      </c>
      <c r="D181" s="19" t="s">
        <v>35</v>
      </c>
      <c r="E181" s="19" t="s">
        <v>232</v>
      </c>
      <c r="F181" s="19" t="s">
        <v>232</v>
      </c>
      <c r="G181" s="19" t="e">
        <f t="shared" si="19"/>
        <v>#VALUE!</v>
      </c>
      <c r="H181" s="37">
        <f t="shared" si="20"/>
        <v>0</v>
      </c>
      <c r="I181" s="24">
        <v>1100000</v>
      </c>
      <c r="J181" s="24">
        <v>35000</v>
      </c>
      <c r="K181" s="24">
        <f t="shared" si="21"/>
        <v>65625</v>
      </c>
      <c r="L181" s="24" t="e">
        <f t="shared" si="22"/>
        <v>#VALUE!</v>
      </c>
      <c r="M181" s="36">
        <f t="shared" si="23"/>
        <v>0</v>
      </c>
      <c r="N181" s="24">
        <v>643469.71291057637</v>
      </c>
      <c r="O181" s="24">
        <f t="shared" si="24"/>
        <v>9652045.6936586462</v>
      </c>
      <c r="P181" s="23" t="e">
        <f t="shared" si="18"/>
        <v>#VALUE!</v>
      </c>
      <c r="Q181" s="23" t="e">
        <f t="shared" si="25"/>
        <v>#VALUE!</v>
      </c>
      <c r="R181" s="23" t="e">
        <f t="shared" si="26"/>
        <v>#VALUE!</v>
      </c>
    </row>
    <row r="182" spans="1:18" ht="15" customHeight="1" x14ac:dyDescent="0.25">
      <c r="A182" s="19" t="s">
        <v>385</v>
      </c>
      <c r="B182" s="19" t="s">
        <v>386</v>
      </c>
      <c r="C182" s="19" t="s">
        <v>29</v>
      </c>
      <c r="D182" s="19" t="s">
        <v>35</v>
      </c>
      <c r="E182" s="19" t="s">
        <v>232</v>
      </c>
      <c r="F182" s="19" t="s">
        <v>232</v>
      </c>
      <c r="G182" s="19" t="e">
        <f t="shared" si="19"/>
        <v>#VALUE!</v>
      </c>
      <c r="H182" s="37">
        <f t="shared" si="20"/>
        <v>0</v>
      </c>
      <c r="I182" s="24">
        <v>1100000</v>
      </c>
      <c r="J182" s="24">
        <v>35000</v>
      </c>
      <c r="K182" s="24">
        <f t="shared" si="21"/>
        <v>65625</v>
      </c>
      <c r="L182" s="24" t="e">
        <f t="shared" si="22"/>
        <v>#VALUE!</v>
      </c>
      <c r="M182" s="36">
        <f t="shared" si="23"/>
        <v>0</v>
      </c>
      <c r="N182" s="24" t="s">
        <v>232</v>
      </c>
      <c r="O182" s="24" t="e">
        <f t="shared" si="24"/>
        <v>#VALUE!</v>
      </c>
      <c r="P182" s="23" t="e">
        <f t="shared" si="18"/>
        <v>#VALUE!</v>
      </c>
      <c r="Q182" s="23" t="e">
        <f t="shared" si="25"/>
        <v>#VALUE!</v>
      </c>
      <c r="R182" s="23" t="e">
        <f t="shared" si="26"/>
        <v>#VALUE!</v>
      </c>
    </row>
    <row r="183" spans="1:18" ht="15" customHeight="1" x14ac:dyDescent="0.25">
      <c r="A183" s="19" t="s">
        <v>387</v>
      </c>
      <c r="B183" s="19" t="s">
        <v>388</v>
      </c>
      <c r="C183" s="19" t="s">
        <v>18</v>
      </c>
      <c r="D183" s="19" t="s">
        <v>35</v>
      </c>
      <c r="E183" s="19" t="s">
        <v>232</v>
      </c>
      <c r="F183" s="19" t="s">
        <v>232</v>
      </c>
      <c r="G183" s="19" t="e">
        <f t="shared" si="19"/>
        <v>#VALUE!</v>
      </c>
      <c r="H183" s="37">
        <f t="shared" si="20"/>
        <v>0</v>
      </c>
      <c r="I183" s="24">
        <v>1100000</v>
      </c>
      <c r="J183" s="24">
        <v>35000</v>
      </c>
      <c r="K183" s="24">
        <f t="shared" si="21"/>
        <v>65625</v>
      </c>
      <c r="L183" s="24" t="e">
        <f t="shared" si="22"/>
        <v>#VALUE!</v>
      </c>
      <c r="M183" s="36">
        <f t="shared" si="23"/>
        <v>0</v>
      </c>
      <c r="N183" s="24">
        <v>486293.25308693683</v>
      </c>
      <c r="O183" s="24">
        <f t="shared" si="24"/>
        <v>7294398.7963040527</v>
      </c>
      <c r="P183" s="23" t="e">
        <f t="shared" si="18"/>
        <v>#VALUE!</v>
      </c>
      <c r="Q183" s="23" t="e">
        <f t="shared" si="25"/>
        <v>#VALUE!</v>
      </c>
      <c r="R183" s="23" t="e">
        <f t="shared" si="26"/>
        <v>#VALUE!</v>
      </c>
    </row>
    <row r="184" spans="1:18" ht="15" customHeight="1" x14ac:dyDescent="0.25">
      <c r="A184" s="19" t="s">
        <v>389</v>
      </c>
      <c r="B184" s="19" t="s">
        <v>390</v>
      </c>
      <c r="C184" s="19" t="s">
        <v>40</v>
      </c>
      <c r="D184" s="19" t="s">
        <v>32</v>
      </c>
      <c r="E184" s="19" t="s">
        <v>232</v>
      </c>
      <c r="F184" s="19" t="s">
        <v>232</v>
      </c>
      <c r="G184" s="19" t="e">
        <f t="shared" si="19"/>
        <v>#VALUE!</v>
      </c>
      <c r="H184" s="37">
        <f t="shared" si="20"/>
        <v>0</v>
      </c>
      <c r="I184" s="24">
        <v>1200000</v>
      </c>
      <c r="J184" s="24">
        <v>35000</v>
      </c>
      <c r="K184" s="24">
        <f t="shared" si="21"/>
        <v>65625</v>
      </c>
      <c r="L184" s="24" t="e">
        <f t="shared" si="22"/>
        <v>#VALUE!</v>
      </c>
      <c r="M184" s="36">
        <f t="shared" si="23"/>
        <v>0</v>
      </c>
      <c r="N184" s="24">
        <v>11997149674.977474</v>
      </c>
      <c r="O184" s="24">
        <f t="shared" si="24"/>
        <v>179957245124.66211</v>
      </c>
      <c r="P184" s="23" t="e">
        <f t="shared" si="18"/>
        <v>#VALUE!</v>
      </c>
      <c r="Q184" s="23" t="e">
        <f t="shared" si="25"/>
        <v>#VALUE!</v>
      </c>
      <c r="R184" s="23" t="e">
        <f t="shared" si="26"/>
        <v>#VALUE!</v>
      </c>
    </row>
    <row r="185" spans="1:18" ht="15" customHeight="1" x14ac:dyDescent="0.25">
      <c r="A185" s="19" t="s">
        <v>391</v>
      </c>
      <c r="B185" s="19" t="s">
        <v>392</v>
      </c>
      <c r="C185" s="19" t="s">
        <v>18</v>
      </c>
      <c r="D185" s="19" t="s">
        <v>35</v>
      </c>
      <c r="E185" s="19" t="s">
        <v>232</v>
      </c>
      <c r="F185" s="19" t="s">
        <v>232</v>
      </c>
      <c r="G185" s="19" t="e">
        <f t="shared" si="19"/>
        <v>#VALUE!</v>
      </c>
      <c r="H185" s="37">
        <f t="shared" si="20"/>
        <v>0</v>
      </c>
      <c r="I185" s="24">
        <v>1100000</v>
      </c>
      <c r="J185" s="24">
        <v>35000</v>
      </c>
      <c r="K185" s="24">
        <f t="shared" si="21"/>
        <v>65625</v>
      </c>
      <c r="L185" s="24" t="e">
        <f t="shared" si="22"/>
        <v>#VALUE!</v>
      </c>
      <c r="M185" s="36">
        <f t="shared" si="23"/>
        <v>0</v>
      </c>
      <c r="N185" s="24">
        <v>608902361.97083366</v>
      </c>
      <c r="O185" s="24">
        <f t="shared" si="24"/>
        <v>9133535429.5625057</v>
      </c>
      <c r="P185" s="23" t="e">
        <f t="shared" si="18"/>
        <v>#VALUE!</v>
      </c>
      <c r="Q185" s="23" t="e">
        <f t="shared" si="25"/>
        <v>#VALUE!</v>
      </c>
      <c r="R185" s="23" t="e">
        <f t="shared" si="26"/>
        <v>#VALUE!</v>
      </c>
    </row>
    <row r="186" spans="1:18" ht="15" customHeight="1" x14ac:dyDescent="0.25">
      <c r="A186" s="19" t="s">
        <v>393</v>
      </c>
      <c r="B186" s="19" t="s">
        <v>394</v>
      </c>
      <c r="C186" s="19" t="s">
        <v>40</v>
      </c>
      <c r="D186" s="19" t="s">
        <v>32</v>
      </c>
      <c r="E186" s="19" t="s">
        <v>232</v>
      </c>
      <c r="F186" s="19" t="s">
        <v>232</v>
      </c>
      <c r="G186" s="19" t="e">
        <f t="shared" si="19"/>
        <v>#VALUE!</v>
      </c>
      <c r="H186" s="37">
        <f t="shared" si="20"/>
        <v>0</v>
      </c>
      <c r="I186" s="24">
        <v>1200000</v>
      </c>
      <c r="J186" s="24">
        <v>35000</v>
      </c>
      <c r="K186" s="24">
        <f t="shared" si="21"/>
        <v>65625</v>
      </c>
      <c r="L186" s="24" t="e">
        <f t="shared" si="22"/>
        <v>#VALUE!</v>
      </c>
      <c r="M186" s="36">
        <f t="shared" si="23"/>
        <v>0</v>
      </c>
      <c r="N186" s="24">
        <v>92945139.393425897</v>
      </c>
      <c r="O186" s="24">
        <f t="shared" si="24"/>
        <v>1394177090.9013884</v>
      </c>
      <c r="P186" s="23" t="e">
        <f t="shared" si="18"/>
        <v>#VALUE!</v>
      </c>
      <c r="Q186" s="23" t="e">
        <f t="shared" si="25"/>
        <v>#VALUE!</v>
      </c>
      <c r="R186" s="23" t="e">
        <f t="shared" si="26"/>
        <v>#VALUE!</v>
      </c>
    </row>
    <row r="187" spans="1:18" ht="15" customHeight="1" x14ac:dyDescent="0.25">
      <c r="A187" s="19" t="s">
        <v>395</v>
      </c>
      <c r="B187" s="19" t="s">
        <v>396</v>
      </c>
      <c r="C187" s="19" t="s">
        <v>45</v>
      </c>
      <c r="D187" s="19" t="s">
        <v>19</v>
      </c>
      <c r="E187" s="19">
        <v>578274</v>
      </c>
      <c r="F187" s="21">
        <v>23.3650484026603</v>
      </c>
      <c r="G187" s="19">
        <f t="shared" si="19"/>
        <v>443160.00000000023</v>
      </c>
      <c r="H187" s="37">
        <f t="shared" si="20"/>
        <v>443160.00000000023</v>
      </c>
      <c r="I187" s="24" t="s">
        <v>232</v>
      </c>
      <c r="J187" s="24" t="s">
        <v>232</v>
      </c>
      <c r="K187" s="24" t="e">
        <f t="shared" si="21"/>
        <v>#VALUE!</v>
      </c>
      <c r="L187" s="24" t="e">
        <f t="shared" si="22"/>
        <v>#VALUE!</v>
      </c>
      <c r="M187" s="36">
        <f t="shared" si="23"/>
        <v>0</v>
      </c>
      <c r="N187" s="24">
        <v>6600024142.4592056</v>
      </c>
      <c r="O187" s="24">
        <f t="shared" si="24"/>
        <v>99000362136.888092</v>
      </c>
      <c r="P187" s="23" t="e">
        <f t="shared" si="18"/>
        <v>#VALUE!</v>
      </c>
      <c r="Q187" s="23" t="e">
        <f t="shared" si="25"/>
        <v>#VALUE!</v>
      </c>
      <c r="R187" s="23" t="e">
        <f t="shared" si="26"/>
        <v>#VALUE!</v>
      </c>
    </row>
    <row r="188" spans="1:18" ht="15" customHeight="1" x14ac:dyDescent="0.25">
      <c r="A188" s="19" t="s">
        <v>397</v>
      </c>
      <c r="B188" s="19" t="s">
        <v>398</v>
      </c>
      <c r="C188" s="19" t="s">
        <v>45</v>
      </c>
      <c r="D188" s="19" t="s">
        <v>19</v>
      </c>
      <c r="E188" s="19">
        <v>71456</v>
      </c>
      <c r="F188" s="21">
        <v>100</v>
      </c>
      <c r="G188" s="19">
        <f t="shared" si="19"/>
        <v>0</v>
      </c>
      <c r="H188" s="37">
        <f t="shared" si="20"/>
        <v>0</v>
      </c>
      <c r="I188" s="24" t="s">
        <v>232</v>
      </c>
      <c r="J188" s="24" t="s">
        <v>232</v>
      </c>
      <c r="K188" s="24" t="e">
        <f t="shared" si="21"/>
        <v>#VALUE!</v>
      </c>
      <c r="L188" s="24" t="e">
        <f t="shared" si="22"/>
        <v>#VALUE!</v>
      </c>
      <c r="M188" s="36">
        <f t="shared" si="23"/>
        <v>0</v>
      </c>
      <c r="N188" s="24">
        <v>278578079.29358196</v>
      </c>
      <c r="O188" s="24">
        <f t="shared" si="24"/>
        <v>4178671189.4037294</v>
      </c>
      <c r="P188" s="23" t="e">
        <f t="shared" si="18"/>
        <v>#VALUE!</v>
      </c>
      <c r="Q188" s="23" t="e">
        <f t="shared" si="25"/>
        <v>#VALUE!</v>
      </c>
      <c r="R188" s="23" t="e">
        <f t="shared" si="26"/>
        <v>#VALUE!</v>
      </c>
    </row>
    <row r="189" spans="1:18" ht="15" customHeight="1" x14ac:dyDescent="0.25">
      <c r="A189" s="19" t="s">
        <v>399</v>
      </c>
      <c r="B189" s="19" t="s">
        <v>400</v>
      </c>
      <c r="C189" s="19" t="s">
        <v>40</v>
      </c>
      <c r="D189" s="19" t="s">
        <v>22</v>
      </c>
      <c r="E189" s="19">
        <v>69873</v>
      </c>
      <c r="F189" s="21">
        <v>64.896311880125396</v>
      </c>
      <c r="G189" s="19">
        <f t="shared" si="19"/>
        <v>24527.999999999985</v>
      </c>
      <c r="H189" s="37">
        <f t="shared" si="20"/>
        <v>24527.999999999985</v>
      </c>
      <c r="I189" s="24">
        <v>1000000</v>
      </c>
      <c r="J189" s="24">
        <v>30000</v>
      </c>
      <c r="K189" s="24">
        <f t="shared" si="21"/>
        <v>56250</v>
      </c>
      <c r="L189" s="24">
        <f t="shared" si="22"/>
        <v>25907699999.999985</v>
      </c>
      <c r="M189" s="36">
        <f t="shared" si="23"/>
        <v>25907699999.999985</v>
      </c>
      <c r="N189" s="24" t="s">
        <v>232</v>
      </c>
      <c r="O189" s="24" t="e">
        <f t="shared" si="24"/>
        <v>#VALUE!</v>
      </c>
      <c r="P189" s="23" t="e">
        <f t="shared" si="18"/>
        <v>#VALUE!</v>
      </c>
      <c r="Q189" s="23" t="e">
        <f t="shared" si="25"/>
        <v>#VALUE!</v>
      </c>
      <c r="R189" s="23" t="e">
        <f t="shared" si="26"/>
        <v>#VALUE!</v>
      </c>
    </row>
    <row r="190" spans="1:18" ht="15" customHeight="1" x14ac:dyDescent="0.25">
      <c r="A190" s="19" t="s">
        <v>401</v>
      </c>
      <c r="B190" s="19" t="s">
        <v>402</v>
      </c>
      <c r="C190" s="19" t="s">
        <v>14</v>
      </c>
      <c r="D190" s="19" t="s">
        <v>19</v>
      </c>
      <c r="E190" s="19" t="s">
        <v>232</v>
      </c>
      <c r="F190" s="19" t="s">
        <v>232</v>
      </c>
      <c r="G190" s="19" t="e">
        <f t="shared" si="19"/>
        <v>#VALUE!</v>
      </c>
      <c r="H190" s="37">
        <f t="shared" si="20"/>
        <v>0</v>
      </c>
      <c r="I190" s="24" t="s">
        <v>232</v>
      </c>
      <c r="J190" s="24" t="s">
        <v>232</v>
      </c>
      <c r="K190" s="24" t="e">
        <f t="shared" si="21"/>
        <v>#VALUE!</v>
      </c>
      <c r="L190" s="24" t="e">
        <f t="shared" si="22"/>
        <v>#VALUE!</v>
      </c>
      <c r="M190" s="36">
        <f t="shared" si="23"/>
        <v>0</v>
      </c>
      <c r="N190" s="24">
        <v>89930664.353367537</v>
      </c>
      <c r="O190" s="24">
        <f t="shared" si="24"/>
        <v>1348959965.300513</v>
      </c>
      <c r="P190" s="23" t="e">
        <f t="shared" si="18"/>
        <v>#VALUE!</v>
      </c>
      <c r="Q190" s="23" t="e">
        <f t="shared" si="25"/>
        <v>#VALUE!</v>
      </c>
      <c r="R190" s="23" t="e">
        <f t="shared" si="26"/>
        <v>#VALUE!</v>
      </c>
    </row>
    <row r="191" spans="1:18" ht="15" customHeight="1" x14ac:dyDescent="0.25">
      <c r="A191" s="19" t="s">
        <v>403</v>
      </c>
      <c r="B191" s="19" t="s">
        <v>404</v>
      </c>
      <c r="C191" s="19" t="s">
        <v>14</v>
      </c>
      <c r="D191" s="19" t="s">
        <v>32</v>
      </c>
      <c r="E191" s="19">
        <v>83739</v>
      </c>
      <c r="F191" s="19" t="s">
        <v>232</v>
      </c>
      <c r="G191" s="19" t="e">
        <f t="shared" si="19"/>
        <v>#VALUE!</v>
      </c>
      <c r="H191" s="37">
        <f t="shared" si="20"/>
        <v>0</v>
      </c>
      <c r="I191" s="24">
        <v>1200000</v>
      </c>
      <c r="J191" s="24">
        <v>35000</v>
      </c>
      <c r="K191" s="24">
        <f t="shared" si="21"/>
        <v>65625</v>
      </c>
      <c r="L191" s="24" t="e">
        <f t="shared" si="22"/>
        <v>#VALUE!</v>
      </c>
      <c r="M191" s="36">
        <f t="shared" si="23"/>
        <v>0</v>
      </c>
      <c r="N191" s="24">
        <v>2569147998.6777964</v>
      </c>
      <c r="O191" s="24">
        <f t="shared" si="24"/>
        <v>38537219980.166946</v>
      </c>
      <c r="P191" s="23" t="e">
        <f t="shared" si="18"/>
        <v>#VALUE!</v>
      </c>
      <c r="Q191" s="23" t="e">
        <f t="shared" si="25"/>
        <v>#VALUE!</v>
      </c>
      <c r="R191" s="23" t="e">
        <f t="shared" si="26"/>
        <v>#VALUE!</v>
      </c>
    </row>
    <row r="192" spans="1:18" ht="15" customHeight="1" x14ac:dyDescent="0.25">
      <c r="A192" s="19" t="s">
        <v>405</v>
      </c>
      <c r="B192" s="19" t="s">
        <v>406</v>
      </c>
      <c r="C192" s="19" t="s">
        <v>18</v>
      </c>
      <c r="D192" s="19" t="s">
        <v>26</v>
      </c>
      <c r="E192" s="19" t="s">
        <v>232</v>
      </c>
      <c r="F192" s="19" t="s">
        <v>232</v>
      </c>
      <c r="G192" s="19" t="e">
        <f t="shared" si="19"/>
        <v>#VALUE!</v>
      </c>
      <c r="H192" s="37">
        <f t="shared" si="20"/>
        <v>0</v>
      </c>
      <c r="I192" s="24">
        <v>1100000</v>
      </c>
      <c r="J192" s="24">
        <v>33000</v>
      </c>
      <c r="K192" s="24">
        <f t="shared" si="21"/>
        <v>61875</v>
      </c>
      <c r="L192" s="24" t="e">
        <f t="shared" si="22"/>
        <v>#VALUE!</v>
      </c>
      <c r="M192" s="36">
        <f t="shared" si="23"/>
        <v>0</v>
      </c>
      <c r="N192" s="24">
        <v>13671322551.946495</v>
      </c>
      <c r="O192" s="24">
        <f t="shared" si="24"/>
        <v>205069838279.19742</v>
      </c>
      <c r="P192" s="23" t="e">
        <f t="shared" si="18"/>
        <v>#VALUE!</v>
      </c>
      <c r="Q192" s="23" t="e">
        <f t="shared" si="25"/>
        <v>#VALUE!</v>
      </c>
      <c r="R192" s="23" t="e">
        <f t="shared" si="26"/>
        <v>#VALUE!</v>
      </c>
    </row>
    <row r="193" spans="1:18" ht="15" customHeight="1" x14ac:dyDescent="0.25">
      <c r="A193" s="19" t="s">
        <v>407</v>
      </c>
      <c r="B193" s="19" t="s">
        <v>408</v>
      </c>
      <c r="C193" s="19" t="s">
        <v>40</v>
      </c>
      <c r="D193" s="19" t="s">
        <v>26</v>
      </c>
      <c r="E193" s="19" t="s">
        <v>232</v>
      </c>
      <c r="F193" s="19" t="s">
        <v>232</v>
      </c>
      <c r="G193" s="19" t="e">
        <f t="shared" si="19"/>
        <v>#VALUE!</v>
      </c>
      <c r="H193" s="37">
        <f t="shared" si="20"/>
        <v>0</v>
      </c>
      <c r="I193" s="24" t="s">
        <v>232</v>
      </c>
      <c r="J193" s="24" t="s">
        <v>232</v>
      </c>
      <c r="K193" s="24" t="e">
        <f t="shared" si="21"/>
        <v>#VALUE!</v>
      </c>
      <c r="L193" s="24" t="e">
        <f t="shared" si="22"/>
        <v>#VALUE!</v>
      </c>
      <c r="M193" s="36">
        <f t="shared" si="23"/>
        <v>0</v>
      </c>
      <c r="N193" s="24">
        <v>6029932.4922673218</v>
      </c>
      <c r="O193" s="24">
        <f t="shared" si="24"/>
        <v>90448987.384009823</v>
      </c>
      <c r="P193" s="23" t="e">
        <f t="shared" si="18"/>
        <v>#VALUE!</v>
      </c>
      <c r="Q193" s="23" t="e">
        <f t="shared" si="25"/>
        <v>#VALUE!</v>
      </c>
      <c r="R193" s="23" t="e">
        <f t="shared" si="26"/>
        <v>#VALUE!</v>
      </c>
    </row>
    <row r="194" spans="1:18" ht="15" customHeight="1" x14ac:dyDescent="0.25">
      <c r="A194" s="19" t="s">
        <v>409</v>
      </c>
      <c r="B194" s="19" t="s">
        <v>410</v>
      </c>
      <c r="C194" s="19" t="s">
        <v>14</v>
      </c>
      <c r="D194" s="19" t="s">
        <v>32</v>
      </c>
      <c r="E194" s="19" t="s">
        <v>232</v>
      </c>
      <c r="F194" s="19" t="s">
        <v>232</v>
      </c>
      <c r="G194" s="19" t="e">
        <f t="shared" si="19"/>
        <v>#VALUE!</v>
      </c>
      <c r="H194" s="37">
        <f t="shared" si="20"/>
        <v>0</v>
      </c>
      <c r="I194" s="24">
        <v>1200000</v>
      </c>
      <c r="J194" s="24">
        <v>35000</v>
      </c>
      <c r="K194" s="24">
        <f t="shared" si="21"/>
        <v>65625</v>
      </c>
      <c r="L194" s="24" t="e">
        <f t="shared" si="22"/>
        <v>#VALUE!</v>
      </c>
      <c r="M194" s="36">
        <f t="shared" si="23"/>
        <v>0</v>
      </c>
      <c r="N194" s="24">
        <v>289914233.93356359</v>
      </c>
      <c r="O194" s="24">
        <f t="shared" si="24"/>
        <v>4348713509.0034542</v>
      </c>
      <c r="P194" s="23" t="e">
        <f t="shared" si="18"/>
        <v>#VALUE!</v>
      </c>
      <c r="Q194" s="23" t="e">
        <f t="shared" si="25"/>
        <v>#VALUE!</v>
      </c>
      <c r="R194" s="23" t="e">
        <f t="shared" si="26"/>
        <v>#VALUE!</v>
      </c>
    </row>
    <row r="195" spans="1:18" ht="15" customHeight="1" x14ac:dyDescent="0.25">
      <c r="A195" s="19" t="s">
        <v>411</v>
      </c>
      <c r="B195" s="19" t="s">
        <v>412</v>
      </c>
      <c r="C195" s="19" t="s">
        <v>18</v>
      </c>
      <c r="D195" s="19" t="s">
        <v>26</v>
      </c>
      <c r="E195" s="19" t="s">
        <v>232</v>
      </c>
      <c r="F195" s="19" t="s">
        <v>232</v>
      </c>
      <c r="G195" s="19" t="e">
        <f t="shared" si="19"/>
        <v>#VALUE!</v>
      </c>
      <c r="H195" s="37">
        <f t="shared" si="20"/>
        <v>0</v>
      </c>
      <c r="I195" s="24" t="s">
        <v>232</v>
      </c>
      <c r="J195" s="24" t="s">
        <v>232</v>
      </c>
      <c r="K195" s="24" t="e">
        <f t="shared" si="21"/>
        <v>#VALUE!</v>
      </c>
      <c r="L195" s="24" t="e">
        <f t="shared" si="22"/>
        <v>#VALUE!</v>
      </c>
      <c r="M195" s="36">
        <f t="shared" si="23"/>
        <v>0</v>
      </c>
      <c r="N195" s="24">
        <v>258294.04268454493</v>
      </c>
      <c r="O195" s="24">
        <f t="shared" si="24"/>
        <v>3874410.640268174</v>
      </c>
      <c r="P195" s="23" t="e">
        <f t="shared" ref="P195:P216" si="27">L195/O195</f>
        <v>#VALUE!</v>
      </c>
      <c r="Q195" s="23" t="e">
        <f t="shared" si="25"/>
        <v>#VALUE!</v>
      </c>
      <c r="R195" s="23" t="e">
        <f t="shared" si="26"/>
        <v>#VALUE!</v>
      </c>
    </row>
    <row r="196" spans="1:18" ht="15" customHeight="1" x14ac:dyDescent="0.25">
      <c r="A196" s="19" t="s">
        <v>413</v>
      </c>
      <c r="B196" s="19" t="s">
        <v>414</v>
      </c>
      <c r="C196" s="19" t="s">
        <v>29</v>
      </c>
      <c r="D196" s="19" t="s">
        <v>35</v>
      </c>
      <c r="E196" s="19" t="s">
        <v>232</v>
      </c>
      <c r="F196" s="19" t="s">
        <v>232</v>
      </c>
      <c r="G196" s="19" t="e">
        <f t="shared" ref="G196:G217" si="28">(1-(F196/100))*E196</f>
        <v>#VALUE!</v>
      </c>
      <c r="H196" s="37">
        <f t="shared" ref="H196:H216" si="29">IFERROR(G196,0)</f>
        <v>0</v>
      </c>
      <c r="I196" s="24">
        <v>1100000</v>
      </c>
      <c r="J196" s="24">
        <v>35000</v>
      </c>
      <c r="K196" s="24">
        <f t="shared" ref="K196:K216" si="30">J196*(7.5/4)</f>
        <v>65625</v>
      </c>
      <c r="L196" s="24" t="e">
        <f t="shared" ref="L196:L216" si="31">G196*(I196+K196)</f>
        <v>#VALUE!</v>
      </c>
      <c r="M196" s="36">
        <f t="shared" ref="M196:M216" si="32">IFERROR(L196,0)</f>
        <v>0</v>
      </c>
      <c r="N196" s="24">
        <v>8121778589.9499531</v>
      </c>
      <c r="O196" s="24">
        <f t="shared" ref="O196:O216" si="33">N196*15</f>
        <v>121826678849.2493</v>
      </c>
      <c r="P196" s="23" t="e">
        <f t="shared" si="27"/>
        <v>#VALUE!</v>
      </c>
      <c r="Q196" s="23" t="e">
        <f t="shared" ref="Q196:Q216" si="34">(L196/2)/(O196*1.5)</f>
        <v>#VALUE!</v>
      </c>
      <c r="R196" s="23" t="e">
        <f t="shared" ref="R196:R216" si="35">(L196*1.5)/(O196/2)</f>
        <v>#VALUE!</v>
      </c>
    </row>
    <row r="197" spans="1:18" ht="15" customHeight="1" x14ac:dyDescent="0.25">
      <c r="A197" s="19" t="s">
        <v>415</v>
      </c>
      <c r="B197" s="19" t="s">
        <v>416</v>
      </c>
      <c r="C197" s="19" t="s">
        <v>18</v>
      </c>
      <c r="D197" s="19" t="s">
        <v>22</v>
      </c>
      <c r="E197" s="19">
        <v>19418.005000000001</v>
      </c>
      <c r="F197" s="21">
        <v>75.994310435083307</v>
      </c>
      <c r="G197" s="19">
        <f t="shared" si="28"/>
        <v>4661.4260000000013</v>
      </c>
      <c r="H197" s="37">
        <f t="shared" si="29"/>
        <v>4661.4260000000013</v>
      </c>
      <c r="I197" s="24">
        <v>1000000</v>
      </c>
      <c r="J197" s="24">
        <v>30000</v>
      </c>
      <c r="K197" s="24">
        <f t="shared" si="30"/>
        <v>56250</v>
      </c>
      <c r="L197" s="24">
        <f t="shared" si="31"/>
        <v>4923631212.500001</v>
      </c>
      <c r="M197" s="36">
        <f t="shared" si="32"/>
        <v>4923631212.500001</v>
      </c>
      <c r="N197" s="24">
        <v>2923132889.5717616</v>
      </c>
      <c r="O197" s="24">
        <f t="shared" si="33"/>
        <v>43846993343.576424</v>
      </c>
      <c r="P197" s="23">
        <f t="shared" si="27"/>
        <v>0.11229119346723261</v>
      </c>
      <c r="Q197" s="23">
        <f t="shared" si="34"/>
        <v>3.7430397822410873E-2</v>
      </c>
      <c r="R197" s="23">
        <f t="shared" si="35"/>
        <v>0.33687358040169785</v>
      </c>
    </row>
    <row r="198" spans="1:18" ht="15" customHeight="1" x14ac:dyDescent="0.25">
      <c r="A198" s="19" t="s">
        <v>417</v>
      </c>
      <c r="B198" s="19" t="s">
        <v>418</v>
      </c>
      <c r="C198" s="19" t="s">
        <v>18</v>
      </c>
      <c r="D198" s="19" t="s">
        <v>19</v>
      </c>
      <c r="E198" s="19">
        <v>367263</v>
      </c>
      <c r="F198" s="21">
        <v>89.363480666443394</v>
      </c>
      <c r="G198" s="19">
        <f t="shared" si="28"/>
        <v>39063.999999999993</v>
      </c>
      <c r="H198" s="37">
        <f t="shared" si="29"/>
        <v>39063.999999999993</v>
      </c>
      <c r="I198" s="24">
        <v>1100000</v>
      </c>
      <c r="J198" s="24">
        <v>33000</v>
      </c>
      <c r="K198" s="24">
        <f t="shared" si="30"/>
        <v>61875</v>
      </c>
      <c r="L198" s="24">
        <f t="shared" si="31"/>
        <v>45387484999.999992</v>
      </c>
      <c r="M198" s="36">
        <f t="shared" si="32"/>
        <v>45387484999.999992</v>
      </c>
      <c r="N198" s="24">
        <v>4369682103.2413588</v>
      </c>
      <c r="O198" s="24">
        <f t="shared" si="33"/>
        <v>65545231548.620384</v>
      </c>
      <c r="P198" s="23">
        <f t="shared" si="27"/>
        <v>0.69246051814360132</v>
      </c>
      <c r="Q198" s="23">
        <f t="shared" si="34"/>
        <v>0.23082017271453376</v>
      </c>
      <c r="R198" s="23">
        <f t="shared" si="35"/>
        <v>2.0773815544308039</v>
      </c>
    </row>
    <row r="199" spans="1:18" ht="15" customHeight="1" x14ac:dyDescent="0.25">
      <c r="A199" s="19" t="s">
        <v>419</v>
      </c>
      <c r="B199" s="19" t="s">
        <v>420</v>
      </c>
      <c r="C199" s="19" t="s">
        <v>18</v>
      </c>
      <c r="D199" s="19" t="s">
        <v>19</v>
      </c>
      <c r="E199" s="19" t="s">
        <v>232</v>
      </c>
      <c r="F199" s="19" t="s">
        <v>232</v>
      </c>
      <c r="G199" s="19" t="e">
        <f t="shared" si="28"/>
        <v>#VALUE!</v>
      </c>
      <c r="H199" s="37">
        <f t="shared" si="29"/>
        <v>0</v>
      </c>
      <c r="I199" s="24" t="s">
        <v>232</v>
      </c>
      <c r="J199" s="24" t="s">
        <v>232</v>
      </c>
      <c r="K199" s="24" t="e">
        <f t="shared" si="30"/>
        <v>#VALUE!</v>
      </c>
      <c r="L199" s="24" t="e">
        <f t="shared" si="31"/>
        <v>#VALUE!</v>
      </c>
      <c r="M199" s="36">
        <f t="shared" si="32"/>
        <v>0</v>
      </c>
      <c r="N199" s="24">
        <v>8829721321.8512516</v>
      </c>
      <c r="O199" s="24">
        <f t="shared" si="33"/>
        <v>132445819827.76877</v>
      </c>
      <c r="P199" s="23" t="e">
        <f t="shared" si="27"/>
        <v>#VALUE!</v>
      </c>
      <c r="Q199" s="23" t="e">
        <f t="shared" si="34"/>
        <v>#VALUE!</v>
      </c>
      <c r="R199" s="23" t="e">
        <f t="shared" si="35"/>
        <v>#VALUE!</v>
      </c>
    </row>
    <row r="200" spans="1:18" ht="15" customHeight="1" x14ac:dyDescent="0.25">
      <c r="A200" s="19" t="s">
        <v>421</v>
      </c>
      <c r="B200" s="19" t="s">
        <v>422</v>
      </c>
      <c r="C200" s="19" t="s">
        <v>29</v>
      </c>
      <c r="D200" s="19" t="s">
        <v>35</v>
      </c>
      <c r="E200" s="19" t="s">
        <v>232</v>
      </c>
      <c r="F200" s="19" t="s">
        <v>232</v>
      </c>
      <c r="G200" s="19" t="e">
        <f t="shared" si="28"/>
        <v>#VALUE!</v>
      </c>
      <c r="H200" s="37">
        <f t="shared" si="29"/>
        <v>0</v>
      </c>
      <c r="I200" s="24">
        <v>1100000</v>
      </c>
      <c r="J200" s="24">
        <v>35000</v>
      </c>
      <c r="K200" s="24">
        <f t="shared" si="30"/>
        <v>65625</v>
      </c>
      <c r="L200" s="24" t="e">
        <f t="shared" si="31"/>
        <v>#VALUE!</v>
      </c>
      <c r="M200" s="36">
        <f t="shared" si="32"/>
        <v>0</v>
      </c>
      <c r="N200" s="24" t="s">
        <v>232</v>
      </c>
      <c r="O200" s="24" t="e">
        <f t="shared" si="33"/>
        <v>#VALUE!</v>
      </c>
      <c r="P200" s="23" t="e">
        <f t="shared" si="27"/>
        <v>#VALUE!</v>
      </c>
      <c r="Q200" s="23" t="e">
        <f t="shared" si="34"/>
        <v>#VALUE!</v>
      </c>
      <c r="R200" s="23" t="e">
        <f t="shared" si="35"/>
        <v>#VALUE!</v>
      </c>
    </row>
    <row r="201" spans="1:18" s="31" customFormat="1" ht="15" customHeight="1" x14ac:dyDescent="0.25">
      <c r="A201" s="31" t="s">
        <v>423</v>
      </c>
      <c r="B201" s="31" t="s">
        <v>424</v>
      </c>
      <c r="C201" s="31" t="s">
        <v>18</v>
      </c>
      <c r="D201" s="31" t="s">
        <v>26</v>
      </c>
      <c r="E201" s="19" t="s">
        <v>232</v>
      </c>
      <c r="F201" s="19" t="s">
        <v>232</v>
      </c>
      <c r="G201" s="19" t="e">
        <f t="shared" si="28"/>
        <v>#VALUE!</v>
      </c>
      <c r="H201" s="37">
        <f t="shared" si="29"/>
        <v>0</v>
      </c>
      <c r="I201" s="24" t="s">
        <v>232</v>
      </c>
      <c r="J201" s="24" t="s">
        <v>232</v>
      </c>
      <c r="K201" s="24" t="e">
        <f t="shared" si="30"/>
        <v>#VALUE!</v>
      </c>
      <c r="L201" s="24" t="e">
        <f t="shared" si="31"/>
        <v>#VALUE!</v>
      </c>
      <c r="M201" s="36">
        <f t="shared" si="32"/>
        <v>0</v>
      </c>
      <c r="N201" s="30">
        <v>0</v>
      </c>
      <c r="O201" s="24">
        <f t="shared" si="33"/>
        <v>0</v>
      </c>
      <c r="P201" s="23" t="e">
        <f t="shared" si="27"/>
        <v>#VALUE!</v>
      </c>
      <c r="Q201" s="23" t="e">
        <f t="shared" si="34"/>
        <v>#VALUE!</v>
      </c>
      <c r="R201" s="23" t="e">
        <f t="shared" si="35"/>
        <v>#VALUE!</v>
      </c>
    </row>
    <row r="202" spans="1:18" ht="15" customHeight="1" x14ac:dyDescent="0.25">
      <c r="A202" s="19" t="s">
        <v>425</v>
      </c>
      <c r="B202" s="19" t="s">
        <v>426</v>
      </c>
      <c r="C202" s="19" t="s">
        <v>14</v>
      </c>
      <c r="D202" s="19" t="s">
        <v>32</v>
      </c>
      <c r="E202" s="19" t="s">
        <v>232</v>
      </c>
      <c r="F202" s="19" t="s">
        <v>232</v>
      </c>
      <c r="G202" s="19" t="e">
        <f t="shared" si="28"/>
        <v>#VALUE!</v>
      </c>
      <c r="H202" s="37">
        <f t="shared" si="29"/>
        <v>0</v>
      </c>
      <c r="I202" s="24">
        <v>1200000</v>
      </c>
      <c r="J202" s="24">
        <v>35000</v>
      </c>
      <c r="K202" s="24">
        <f t="shared" si="30"/>
        <v>65625</v>
      </c>
      <c r="L202" s="24" t="e">
        <f t="shared" si="31"/>
        <v>#VALUE!</v>
      </c>
      <c r="M202" s="36">
        <f t="shared" si="32"/>
        <v>0</v>
      </c>
      <c r="N202" s="24">
        <v>2346264440.3663912</v>
      </c>
      <c r="O202" s="24">
        <f t="shared" si="33"/>
        <v>35193966605.495865</v>
      </c>
      <c r="P202" s="23" t="e">
        <f t="shared" si="27"/>
        <v>#VALUE!</v>
      </c>
      <c r="Q202" s="23" t="e">
        <f t="shared" si="34"/>
        <v>#VALUE!</v>
      </c>
      <c r="R202" s="23" t="e">
        <f t="shared" si="35"/>
        <v>#VALUE!</v>
      </c>
    </row>
    <row r="203" spans="1:18" ht="15" customHeight="1" x14ac:dyDescent="0.25">
      <c r="A203" s="19" t="s">
        <v>427</v>
      </c>
      <c r="B203" s="19" t="s">
        <v>428</v>
      </c>
      <c r="C203" s="19" t="s">
        <v>40</v>
      </c>
      <c r="D203" s="19" t="s">
        <v>19</v>
      </c>
      <c r="E203" s="19">
        <v>169496.2</v>
      </c>
      <c r="F203" s="21">
        <v>97.853875190122295</v>
      </c>
      <c r="G203" s="19">
        <f t="shared" si="28"/>
        <v>3637.5999999999317</v>
      </c>
      <c r="H203" s="37">
        <f t="shared" si="29"/>
        <v>3637.5999999999317</v>
      </c>
      <c r="I203" s="24">
        <v>1100000</v>
      </c>
      <c r="J203" s="24">
        <v>33000</v>
      </c>
      <c r="K203" s="24">
        <f t="shared" si="30"/>
        <v>61875</v>
      </c>
      <c r="L203" s="24">
        <f t="shared" si="31"/>
        <v>4226436499.9999208</v>
      </c>
      <c r="M203" s="36">
        <f t="shared" si="32"/>
        <v>4226436499.9999208</v>
      </c>
      <c r="N203" s="24">
        <v>7490439523.5188084</v>
      </c>
      <c r="O203" s="24">
        <f t="shared" si="33"/>
        <v>112356592852.78212</v>
      </c>
      <c r="P203" s="23">
        <f t="shared" si="27"/>
        <v>3.7616275046162259E-2</v>
      </c>
      <c r="Q203" s="23">
        <f t="shared" si="34"/>
        <v>1.2538758348720752E-2</v>
      </c>
      <c r="R203" s="23">
        <f t="shared" si="35"/>
        <v>0.11284882513848679</v>
      </c>
    </row>
    <row r="204" spans="1:18" ht="15" customHeight="1" x14ac:dyDescent="0.25">
      <c r="A204" s="19" t="s">
        <v>429</v>
      </c>
      <c r="B204" s="19" t="s">
        <v>430</v>
      </c>
      <c r="C204" s="19" t="s">
        <v>29</v>
      </c>
      <c r="D204" s="19" t="s">
        <v>22</v>
      </c>
      <c r="E204" s="19" t="s">
        <v>232</v>
      </c>
      <c r="F204" s="19" t="s">
        <v>232</v>
      </c>
      <c r="G204" s="19" t="e">
        <f t="shared" si="28"/>
        <v>#VALUE!</v>
      </c>
      <c r="H204" s="37">
        <f t="shared" si="29"/>
        <v>0</v>
      </c>
      <c r="I204" s="24">
        <v>1000000</v>
      </c>
      <c r="J204" s="24">
        <v>30000</v>
      </c>
      <c r="K204" s="24">
        <f t="shared" si="30"/>
        <v>56250</v>
      </c>
      <c r="L204" s="24" t="e">
        <f t="shared" si="31"/>
        <v>#VALUE!</v>
      </c>
      <c r="M204" s="36">
        <f t="shared" si="32"/>
        <v>0</v>
      </c>
      <c r="N204" s="24">
        <v>62330586907.323227</v>
      </c>
      <c r="O204" s="24">
        <f t="shared" si="33"/>
        <v>934958803609.84839</v>
      </c>
      <c r="P204" s="23" t="e">
        <f t="shared" si="27"/>
        <v>#VALUE!</v>
      </c>
      <c r="Q204" s="23" t="e">
        <f t="shared" si="34"/>
        <v>#VALUE!</v>
      </c>
      <c r="R204" s="23" t="e">
        <f t="shared" si="35"/>
        <v>#VALUE!</v>
      </c>
    </row>
    <row r="205" spans="1:18" ht="15" customHeight="1" x14ac:dyDescent="0.25">
      <c r="A205" s="19" t="s">
        <v>431</v>
      </c>
      <c r="B205" s="19" t="s">
        <v>432</v>
      </c>
      <c r="C205" s="19" t="s">
        <v>45</v>
      </c>
      <c r="D205" s="19" t="s">
        <v>19</v>
      </c>
      <c r="E205" s="19">
        <v>419628</v>
      </c>
      <c r="F205" s="21">
        <v>100</v>
      </c>
      <c r="G205" s="19">
        <f t="shared" si="28"/>
        <v>0</v>
      </c>
      <c r="H205" s="37">
        <f t="shared" si="29"/>
        <v>0</v>
      </c>
      <c r="I205" s="24" t="s">
        <v>232</v>
      </c>
      <c r="J205" s="24" t="s">
        <v>232</v>
      </c>
      <c r="K205" s="24" t="e">
        <f t="shared" si="30"/>
        <v>#VALUE!</v>
      </c>
      <c r="L205" s="24" t="e">
        <f t="shared" si="31"/>
        <v>#VALUE!</v>
      </c>
      <c r="M205" s="36">
        <f t="shared" si="32"/>
        <v>0</v>
      </c>
      <c r="N205" s="24">
        <v>35339743590.988991</v>
      </c>
      <c r="O205" s="24">
        <f t="shared" si="33"/>
        <v>530096153864.83484</v>
      </c>
      <c r="P205" s="23" t="e">
        <f t="shared" si="27"/>
        <v>#VALUE!</v>
      </c>
      <c r="Q205" s="23" t="e">
        <f t="shared" si="34"/>
        <v>#VALUE!</v>
      </c>
      <c r="R205" s="23" t="e">
        <f t="shared" si="35"/>
        <v>#VALUE!</v>
      </c>
    </row>
    <row r="206" spans="1:18" ht="15" customHeight="1" x14ac:dyDescent="0.25">
      <c r="A206" s="19" t="s">
        <v>433</v>
      </c>
      <c r="B206" s="19" t="s">
        <v>434</v>
      </c>
      <c r="C206" s="19" t="s">
        <v>45</v>
      </c>
      <c r="D206" s="19" t="s">
        <v>69</v>
      </c>
      <c r="E206" s="19">
        <v>6545326</v>
      </c>
      <c r="F206" s="19" t="s">
        <v>232</v>
      </c>
      <c r="G206" s="19" t="e">
        <f t="shared" si="28"/>
        <v>#VALUE!</v>
      </c>
      <c r="H206" s="37">
        <f t="shared" si="29"/>
        <v>0</v>
      </c>
      <c r="I206" s="24" t="s">
        <v>232</v>
      </c>
      <c r="J206" s="24" t="s">
        <v>232</v>
      </c>
      <c r="K206" s="24" t="e">
        <f t="shared" si="30"/>
        <v>#VALUE!</v>
      </c>
      <c r="L206" s="24" t="e">
        <f t="shared" si="31"/>
        <v>#VALUE!</v>
      </c>
      <c r="M206" s="36">
        <f t="shared" si="32"/>
        <v>0</v>
      </c>
      <c r="N206" s="24">
        <v>183742824092.28073</v>
      </c>
      <c r="O206" s="24">
        <f t="shared" si="33"/>
        <v>2756142361384.2109</v>
      </c>
      <c r="P206" s="23" t="e">
        <f t="shared" si="27"/>
        <v>#VALUE!</v>
      </c>
      <c r="Q206" s="23" t="e">
        <f t="shared" si="34"/>
        <v>#VALUE!</v>
      </c>
      <c r="R206" s="23" t="e">
        <f t="shared" si="35"/>
        <v>#VALUE!</v>
      </c>
    </row>
    <row r="207" spans="1:18" ht="15" customHeight="1" x14ac:dyDescent="0.25">
      <c r="A207" s="19" t="s">
        <v>435</v>
      </c>
      <c r="B207" s="19" t="s">
        <v>436</v>
      </c>
      <c r="C207" s="19" t="s">
        <v>29</v>
      </c>
      <c r="D207" s="19" t="s">
        <v>35</v>
      </c>
      <c r="E207" s="19" t="s">
        <v>232</v>
      </c>
      <c r="F207" s="19" t="s">
        <v>232</v>
      </c>
      <c r="G207" s="19" t="e">
        <f t="shared" si="28"/>
        <v>#VALUE!</v>
      </c>
      <c r="H207" s="37">
        <f t="shared" si="29"/>
        <v>0</v>
      </c>
      <c r="I207" s="24">
        <v>1100000</v>
      </c>
      <c r="J207" s="24">
        <v>35000</v>
      </c>
      <c r="K207" s="24">
        <f t="shared" si="30"/>
        <v>65625</v>
      </c>
      <c r="L207" s="24" t="e">
        <f t="shared" si="31"/>
        <v>#VALUE!</v>
      </c>
      <c r="M207" s="36">
        <f t="shared" si="32"/>
        <v>0</v>
      </c>
      <c r="N207" s="24">
        <v>1344798564.3950837</v>
      </c>
      <c r="O207" s="24">
        <f t="shared" si="33"/>
        <v>20171978465.926254</v>
      </c>
      <c r="P207" s="23" t="e">
        <f t="shared" si="27"/>
        <v>#VALUE!</v>
      </c>
      <c r="Q207" s="23" t="e">
        <f t="shared" si="34"/>
        <v>#VALUE!</v>
      </c>
      <c r="R207" s="23" t="e">
        <f t="shared" si="35"/>
        <v>#VALUE!</v>
      </c>
    </row>
    <row r="208" spans="1:18" ht="15" customHeight="1" x14ac:dyDescent="0.25">
      <c r="A208" s="19" t="s">
        <v>437</v>
      </c>
      <c r="B208" s="19" t="s">
        <v>438</v>
      </c>
      <c r="C208" s="19" t="s">
        <v>40</v>
      </c>
      <c r="D208" s="19" t="s">
        <v>19</v>
      </c>
      <c r="E208" s="19" t="s">
        <v>232</v>
      </c>
      <c r="F208" s="19" t="s">
        <v>232</v>
      </c>
      <c r="G208" s="19" t="e">
        <f t="shared" si="28"/>
        <v>#VALUE!</v>
      </c>
      <c r="H208" s="37">
        <f t="shared" si="29"/>
        <v>0</v>
      </c>
      <c r="I208" s="24" t="s">
        <v>232</v>
      </c>
      <c r="J208" s="24" t="s">
        <v>232</v>
      </c>
      <c r="K208" s="24" t="e">
        <f t="shared" si="30"/>
        <v>#VALUE!</v>
      </c>
      <c r="L208" s="24" t="e">
        <f t="shared" si="31"/>
        <v>#VALUE!</v>
      </c>
      <c r="M208" s="36">
        <f t="shared" si="32"/>
        <v>0</v>
      </c>
      <c r="N208" s="24">
        <v>10682101144.876232</v>
      </c>
      <c r="O208" s="24">
        <f t="shared" si="33"/>
        <v>160231517173.14349</v>
      </c>
      <c r="P208" s="23" t="e">
        <f t="shared" si="27"/>
        <v>#VALUE!</v>
      </c>
      <c r="Q208" s="23" t="e">
        <f t="shared" si="34"/>
        <v>#VALUE!</v>
      </c>
      <c r="R208" s="23" t="e">
        <f t="shared" si="35"/>
        <v>#VALUE!</v>
      </c>
    </row>
    <row r="209" spans="1:18" ht="15" customHeight="1" x14ac:dyDescent="0.25">
      <c r="A209" s="19" t="s">
        <v>439</v>
      </c>
      <c r="B209" s="19" t="s">
        <v>440</v>
      </c>
      <c r="C209" s="19" t="s">
        <v>40</v>
      </c>
      <c r="D209" s="19" t="s">
        <v>26</v>
      </c>
      <c r="E209" s="19" t="s">
        <v>232</v>
      </c>
      <c r="F209" s="19" t="s">
        <v>232</v>
      </c>
      <c r="G209" s="19" t="e">
        <f t="shared" si="28"/>
        <v>#VALUE!</v>
      </c>
      <c r="H209" s="37">
        <f t="shared" si="29"/>
        <v>0</v>
      </c>
      <c r="I209" s="24" t="s">
        <v>232</v>
      </c>
      <c r="J209" s="24" t="s">
        <v>232</v>
      </c>
      <c r="K209" s="24" t="e">
        <f t="shared" si="30"/>
        <v>#VALUE!</v>
      </c>
      <c r="L209" s="24" t="e">
        <f t="shared" si="31"/>
        <v>#VALUE!</v>
      </c>
      <c r="M209" s="36">
        <f t="shared" si="32"/>
        <v>0</v>
      </c>
      <c r="N209" s="24">
        <v>7861829.9212791082</v>
      </c>
      <c r="O209" s="24">
        <f t="shared" si="33"/>
        <v>117927448.81918663</v>
      </c>
      <c r="P209" s="23" t="e">
        <f t="shared" si="27"/>
        <v>#VALUE!</v>
      </c>
      <c r="Q209" s="23" t="e">
        <f t="shared" si="34"/>
        <v>#VALUE!</v>
      </c>
      <c r="R209" s="23" t="e">
        <f t="shared" si="35"/>
        <v>#VALUE!</v>
      </c>
    </row>
    <row r="210" spans="1:18" ht="15" customHeight="1" x14ac:dyDescent="0.25">
      <c r="A210" s="19" t="s">
        <v>441</v>
      </c>
      <c r="B210" s="19" t="s">
        <v>442</v>
      </c>
      <c r="C210" s="19" t="s">
        <v>18</v>
      </c>
      <c r="D210" s="19" t="s">
        <v>35</v>
      </c>
      <c r="E210" s="19" t="s">
        <v>232</v>
      </c>
      <c r="F210" s="19" t="s">
        <v>232</v>
      </c>
      <c r="G210" s="19" t="e">
        <f t="shared" si="28"/>
        <v>#VALUE!</v>
      </c>
      <c r="H210" s="37">
        <f t="shared" si="29"/>
        <v>0</v>
      </c>
      <c r="I210" s="24">
        <v>1100000</v>
      </c>
      <c r="J210" s="24">
        <v>35000</v>
      </c>
      <c r="K210" s="24">
        <f t="shared" si="30"/>
        <v>65625</v>
      </c>
      <c r="L210" s="24" t="e">
        <f t="shared" si="31"/>
        <v>#VALUE!</v>
      </c>
      <c r="M210" s="36">
        <f t="shared" si="32"/>
        <v>0</v>
      </c>
      <c r="N210" s="24">
        <v>80589397008.56813</v>
      </c>
      <c r="O210" s="24">
        <f t="shared" si="33"/>
        <v>1208840955128.522</v>
      </c>
      <c r="P210" s="23" t="e">
        <f t="shared" si="27"/>
        <v>#VALUE!</v>
      </c>
      <c r="Q210" s="23" t="e">
        <f t="shared" si="34"/>
        <v>#VALUE!</v>
      </c>
      <c r="R210" s="23" t="e">
        <f t="shared" si="35"/>
        <v>#VALUE!</v>
      </c>
    </row>
    <row r="211" spans="1:18" ht="15" customHeight="1" x14ac:dyDescent="0.25">
      <c r="A211" s="19" t="s">
        <v>443</v>
      </c>
      <c r="B211" s="19" t="s">
        <v>444</v>
      </c>
      <c r="C211" s="19" t="s">
        <v>40</v>
      </c>
      <c r="D211" s="19" t="s">
        <v>26</v>
      </c>
      <c r="E211" s="19" t="s">
        <v>232</v>
      </c>
      <c r="F211" s="19" t="s">
        <v>232</v>
      </c>
      <c r="G211" s="19" t="e">
        <f t="shared" si="28"/>
        <v>#VALUE!</v>
      </c>
      <c r="H211" s="37">
        <f t="shared" si="29"/>
        <v>0</v>
      </c>
      <c r="I211" s="24">
        <v>1100000</v>
      </c>
      <c r="J211" s="24">
        <v>33000</v>
      </c>
      <c r="K211" s="24">
        <f t="shared" si="30"/>
        <v>61875</v>
      </c>
      <c r="L211" s="24" t="e">
        <f t="shared" si="31"/>
        <v>#VALUE!</v>
      </c>
      <c r="M211" s="36">
        <f t="shared" si="32"/>
        <v>0</v>
      </c>
      <c r="N211" s="24">
        <v>13594414917.099127</v>
      </c>
      <c r="O211" s="24">
        <f t="shared" si="33"/>
        <v>203916223756.48691</v>
      </c>
      <c r="P211" s="23" t="e">
        <f t="shared" si="27"/>
        <v>#VALUE!</v>
      </c>
      <c r="Q211" s="23" t="e">
        <f t="shared" si="34"/>
        <v>#VALUE!</v>
      </c>
      <c r="R211" s="23" t="e">
        <f t="shared" si="35"/>
        <v>#VALUE!</v>
      </c>
    </row>
    <row r="212" spans="1:18" ht="15" customHeight="1" x14ac:dyDescent="0.25">
      <c r="A212" s="19" t="s">
        <v>445</v>
      </c>
      <c r="B212" s="19" t="s">
        <v>446</v>
      </c>
      <c r="C212" s="19" t="s">
        <v>29</v>
      </c>
      <c r="D212" s="19" t="s">
        <v>35</v>
      </c>
      <c r="E212" s="19" t="s">
        <v>232</v>
      </c>
      <c r="F212" s="19" t="s">
        <v>232</v>
      </c>
      <c r="G212" s="19" t="e">
        <f t="shared" si="28"/>
        <v>#VALUE!</v>
      </c>
      <c r="H212" s="37">
        <f t="shared" si="29"/>
        <v>0</v>
      </c>
      <c r="I212" s="24">
        <v>1100000</v>
      </c>
      <c r="J212" s="24">
        <v>35000</v>
      </c>
      <c r="K212" s="24">
        <f t="shared" si="30"/>
        <v>65625</v>
      </c>
      <c r="L212" s="24" t="e">
        <f t="shared" si="31"/>
        <v>#VALUE!</v>
      </c>
      <c r="M212" s="36">
        <f t="shared" si="32"/>
        <v>0</v>
      </c>
      <c r="N212" s="24" t="s">
        <v>232</v>
      </c>
      <c r="O212" s="24" t="e">
        <f t="shared" si="33"/>
        <v>#VALUE!</v>
      </c>
      <c r="P212" s="23" t="e">
        <f t="shared" si="27"/>
        <v>#VALUE!</v>
      </c>
      <c r="Q212" s="23" t="e">
        <f t="shared" si="34"/>
        <v>#VALUE!</v>
      </c>
      <c r="R212" s="23" t="e">
        <f t="shared" si="35"/>
        <v>#VALUE!</v>
      </c>
    </row>
    <row r="213" spans="1:18" ht="15" customHeight="1" x14ac:dyDescent="0.25">
      <c r="A213" s="19" t="s">
        <v>447</v>
      </c>
      <c r="B213" s="19" t="s">
        <v>448</v>
      </c>
      <c r="C213" s="19" t="s">
        <v>40</v>
      </c>
      <c r="D213" s="19" t="s">
        <v>22</v>
      </c>
      <c r="E213" s="19">
        <v>4686</v>
      </c>
      <c r="F213" s="21">
        <v>100</v>
      </c>
      <c r="G213" s="19">
        <f t="shared" si="28"/>
        <v>0</v>
      </c>
      <c r="H213" s="37">
        <f t="shared" si="29"/>
        <v>0</v>
      </c>
      <c r="I213" s="24">
        <v>1000000</v>
      </c>
      <c r="J213" s="24">
        <v>30000</v>
      </c>
      <c r="K213" s="24">
        <f t="shared" si="30"/>
        <v>56250</v>
      </c>
      <c r="L213" s="24">
        <f t="shared" si="31"/>
        <v>0</v>
      </c>
      <c r="M213" s="36">
        <f t="shared" si="32"/>
        <v>0</v>
      </c>
      <c r="N213" s="24" t="s">
        <v>232</v>
      </c>
      <c r="O213" s="24" t="e">
        <f t="shared" si="33"/>
        <v>#VALUE!</v>
      </c>
      <c r="P213" s="23" t="e">
        <f t="shared" si="27"/>
        <v>#VALUE!</v>
      </c>
      <c r="Q213" s="23" t="e">
        <f t="shared" si="34"/>
        <v>#VALUE!</v>
      </c>
      <c r="R213" s="23" t="e">
        <f t="shared" si="35"/>
        <v>#VALUE!</v>
      </c>
    </row>
    <row r="214" spans="1:18" ht="15" customHeight="1" x14ac:dyDescent="0.25">
      <c r="A214" s="19" t="s">
        <v>449</v>
      </c>
      <c r="B214" s="19" t="s">
        <v>450</v>
      </c>
      <c r="C214" s="19" t="s">
        <v>40</v>
      </c>
      <c r="D214" s="19" t="s">
        <v>22</v>
      </c>
      <c r="E214" s="19" t="s">
        <v>232</v>
      </c>
      <c r="F214" s="19" t="s">
        <v>232</v>
      </c>
      <c r="G214" s="19" t="e">
        <f t="shared" si="28"/>
        <v>#VALUE!</v>
      </c>
      <c r="H214" s="37">
        <f t="shared" si="29"/>
        <v>0</v>
      </c>
      <c r="I214" s="24">
        <v>1000000</v>
      </c>
      <c r="J214" s="24">
        <v>30000</v>
      </c>
      <c r="K214" s="24">
        <f t="shared" si="30"/>
        <v>56250</v>
      </c>
      <c r="L214" s="24" t="e">
        <f t="shared" si="31"/>
        <v>#VALUE!</v>
      </c>
      <c r="M214" s="36">
        <f t="shared" si="32"/>
        <v>0</v>
      </c>
      <c r="N214" s="24">
        <v>6972508226.6016922</v>
      </c>
      <c r="O214" s="24">
        <f t="shared" si="33"/>
        <v>104587623399.02539</v>
      </c>
      <c r="P214" s="23" t="e">
        <f t="shared" si="27"/>
        <v>#VALUE!</v>
      </c>
      <c r="Q214" s="23" t="e">
        <f t="shared" si="34"/>
        <v>#VALUE!</v>
      </c>
      <c r="R214" s="23" t="e">
        <f t="shared" si="35"/>
        <v>#VALUE!</v>
      </c>
    </row>
    <row r="215" spans="1:18" ht="15" customHeight="1" x14ac:dyDescent="0.25">
      <c r="A215" s="19" t="s">
        <v>451</v>
      </c>
      <c r="B215" s="19" t="s">
        <v>452</v>
      </c>
      <c r="C215" s="19" t="s">
        <v>40</v>
      </c>
      <c r="D215" s="19" t="s">
        <v>32</v>
      </c>
      <c r="E215" s="19" t="s">
        <v>232</v>
      </c>
      <c r="F215" s="19" t="s">
        <v>232</v>
      </c>
      <c r="G215" s="19" t="e">
        <f t="shared" si="28"/>
        <v>#VALUE!</v>
      </c>
      <c r="H215" s="37">
        <f t="shared" si="29"/>
        <v>0</v>
      </c>
      <c r="I215" s="24">
        <v>1200000</v>
      </c>
      <c r="J215" s="24">
        <v>35000</v>
      </c>
      <c r="K215" s="24">
        <f t="shared" si="30"/>
        <v>65625</v>
      </c>
      <c r="L215" s="24" t="e">
        <f t="shared" si="31"/>
        <v>#VALUE!</v>
      </c>
      <c r="M215" s="36">
        <f t="shared" si="32"/>
        <v>0</v>
      </c>
      <c r="N215" s="24">
        <v>4492889935.3189192</v>
      </c>
      <c r="O215" s="24">
        <f t="shared" si="33"/>
        <v>67393349029.783791</v>
      </c>
      <c r="P215" s="23" t="e">
        <f t="shared" si="27"/>
        <v>#VALUE!</v>
      </c>
      <c r="Q215" s="23" t="e">
        <f t="shared" si="34"/>
        <v>#VALUE!</v>
      </c>
      <c r="R215" s="23" t="e">
        <f t="shared" si="35"/>
        <v>#VALUE!</v>
      </c>
    </row>
    <row r="216" spans="1:18" ht="15" customHeight="1" x14ac:dyDescent="0.25">
      <c r="A216" s="19" t="s">
        <v>453</v>
      </c>
      <c r="B216" s="19" t="s">
        <v>454</v>
      </c>
      <c r="C216" s="19" t="s">
        <v>14</v>
      </c>
      <c r="D216" s="19" t="s">
        <v>32</v>
      </c>
      <c r="E216" s="19" t="s">
        <v>232</v>
      </c>
      <c r="F216" s="19" t="s">
        <v>232</v>
      </c>
      <c r="G216" s="19" t="e">
        <f t="shared" si="28"/>
        <v>#VALUE!</v>
      </c>
      <c r="H216" s="37">
        <f t="shared" si="29"/>
        <v>0</v>
      </c>
      <c r="I216" s="24">
        <v>1200000</v>
      </c>
      <c r="J216" s="24">
        <v>35000</v>
      </c>
      <c r="K216" s="24">
        <f t="shared" si="30"/>
        <v>65625</v>
      </c>
      <c r="L216" s="24" t="e">
        <f t="shared" si="31"/>
        <v>#VALUE!</v>
      </c>
      <c r="M216" s="36">
        <f t="shared" si="32"/>
        <v>0</v>
      </c>
      <c r="N216" s="24">
        <v>996384461.46226156</v>
      </c>
      <c r="O216" s="24">
        <f t="shared" si="33"/>
        <v>14945766921.933924</v>
      </c>
      <c r="P216" s="23" t="e">
        <f t="shared" si="27"/>
        <v>#VALUE!</v>
      </c>
      <c r="Q216" s="23" t="e">
        <f t="shared" si="34"/>
        <v>#VALUE!</v>
      </c>
      <c r="R216" s="23" t="e">
        <f t="shared" si="35"/>
        <v>#VALUE!</v>
      </c>
    </row>
    <row r="220" spans="1:18" x14ac:dyDescent="0.25">
      <c r="A220" s="19" t="s">
        <v>500</v>
      </c>
    </row>
    <row r="221" spans="1:18" x14ac:dyDescent="0.25">
      <c r="A221" s="19" t="s">
        <v>501</v>
      </c>
    </row>
  </sheetData>
  <autoFilter ref="A2:R216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Electricity</vt:lpstr>
      <vt:lpstr>Electricity Pivot</vt:lpstr>
      <vt:lpstr>Water</vt:lpstr>
      <vt:lpstr>Water Pivot</vt:lpstr>
      <vt:lpstr>Sanitation</vt:lpstr>
      <vt:lpstr>Sanitation Pivot</vt:lpstr>
      <vt:lpstr>ICT</vt:lpstr>
      <vt:lpstr>ICT Pivot</vt:lpstr>
      <vt:lpstr>Roads</vt:lpstr>
      <vt:lpstr>Roads Pivot</vt:lpstr>
      <vt:lpstr>Costs Summary</vt:lpstr>
      <vt:lpstr>Rents</vt:lpstr>
      <vt:lpstr>Costs vs. Rents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Marxen</dc:creator>
  <cp:lastModifiedBy>Annika Marxen</cp:lastModifiedBy>
  <dcterms:created xsi:type="dcterms:W3CDTF">2015-01-09T15:18:48Z</dcterms:created>
  <dcterms:modified xsi:type="dcterms:W3CDTF">2015-02-13T13:14:33Z</dcterms:modified>
</cp:coreProperties>
</file>