
<file path=[Content_Types].xml><?xml version="1.0" encoding="utf-8"?>
<Types xmlns="http://schemas.openxmlformats.org/package/2006/content-types">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xl/charts/chart7.xml" ContentType="application/vnd.openxmlformats-officedocument.drawingml.chart+xml"/>
  <Override PartName="/xl/charts/chart3.xml" ContentType="application/vnd.openxmlformats-officedocument.drawingml.chart+xml"/>
  <Default Extension="xml" ContentType="application/xml"/>
  <Override PartName="/docProps/core.xml" ContentType="application/vnd.openxmlformats-package.core-properties+xml"/>
  <Override PartName="/xl/theme/theme1.xml" ContentType="application/vnd.openxmlformats-officedocument.theme+xml"/>
  <Override PartName="/xl/charts/chart6.xml" ContentType="application/vnd.openxmlformats-officedocument.drawingml.chart+xml"/>
  <Override PartName="/xl/charts/chart1.xml" ContentType="application/vnd.openxmlformats-officedocument.drawingml.chart+xml"/>
  <Override PartName="/xl/sharedStrings.xml" ContentType="application/vnd.openxmlformats-officedocument.spreadsheetml.sharedStrings+xml"/>
  <Default Extension="rels" ContentType="application/vnd.openxmlformats-package.relationships+xml"/>
  <Override PartName="/docProps/app.xml" ContentType="application/vnd.openxmlformats-officedocument.extended-properties+xml"/>
  <Override PartName="/xl/drawings/drawing1.xml" ContentType="application/vnd.openxmlformats-officedocument.drawing+xml"/>
  <Override PartName="/xl/charts/chart5.xml" ContentType="application/vnd.openxmlformats-officedocument.drawingml.chart+xml"/>
  <Override PartName="/xl/charts/chart2.xml" ContentType="application/vnd.openxmlformats-officedocument.drawingml.chart+xml"/>
  <Default Extension="jpeg" ContentType="image/jpeg"/>
  <Override PartName="/xl/drawings/drawing2.xml" ContentType="application/vnd.openxmlformats-officedocument.drawing+xml"/>
  <Override PartName="/xl/styles.xml" ContentType="application/vnd.openxmlformats-officedocument.spreadsheetml.styles+xml"/>
  <Override PartName="/xl/charts/chart4.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 Id="rId3"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0" yWindow="-20" windowWidth="24800" windowHeight="14980" tabRatio="500"/>
  </bookViews>
  <sheets>
    <sheet name="Sheet1" sheetId="1" r:id="rId1"/>
    <sheet name="Sheet2" sheetId="3" r:id="rId2"/>
  </sheet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G73" i="1"/>
  <c r="G74"/>
  <c r="A41"/>
  <c r="A46"/>
  <c r="N38"/>
  <c r="H39"/>
  <c r="N39"/>
  <c r="N36"/>
  <c r="G41"/>
  <c r="G42"/>
  <c r="G46"/>
  <c r="D106"/>
  <c r="M38"/>
  <c r="B11"/>
  <c r="E23"/>
  <c r="H12"/>
  <c r="M39"/>
  <c r="M36"/>
  <c r="H10"/>
  <c r="H16"/>
  <c r="E11"/>
  <c r="B23"/>
  <c r="H24"/>
  <c r="H22"/>
  <c r="H31"/>
  <c r="H33"/>
  <c r="F41"/>
  <c r="F42"/>
  <c r="F46"/>
  <c r="C106"/>
  <c r="L38"/>
  <c r="L39"/>
  <c r="L36"/>
  <c r="E42"/>
  <c r="E46"/>
  <c r="B106"/>
  <c r="G67"/>
  <c r="D107"/>
  <c r="A67"/>
  <c r="F67"/>
  <c r="C107"/>
  <c r="E67"/>
  <c r="B107"/>
  <c r="A38"/>
  <c r="G61"/>
  <c r="F61"/>
  <c r="C105"/>
  <c r="E73"/>
  <c r="A75"/>
  <c r="A74"/>
  <c r="F78"/>
  <c r="A86"/>
  <c r="F86"/>
  <c r="A47"/>
  <c r="A87"/>
  <c r="F87"/>
  <c r="F77"/>
  <c r="E74"/>
  <c r="B26"/>
  <c r="H26"/>
  <c r="H11"/>
  <c r="H23"/>
  <c r="G86"/>
  <c r="N37"/>
  <c r="G68"/>
  <c r="B53"/>
  <c r="K61"/>
  <c r="J61"/>
  <c r="A62"/>
  <c r="A61"/>
  <c r="J62"/>
  <c r="I61"/>
  <c r="H61"/>
  <c r="H62"/>
  <c r="K62"/>
  <c r="I62"/>
  <c r="H46"/>
  <c r="M37"/>
  <c r="F47"/>
  <c r="H47"/>
  <c r="G47"/>
  <c r="I47"/>
  <c r="I46"/>
  <c r="L37"/>
  <c r="E47"/>
  <c r="F62"/>
  <c r="G62"/>
  <c r="E61"/>
  <c r="E62"/>
  <c r="B51"/>
  <c r="B105"/>
  <c r="D77"/>
  <c r="K84"/>
  <c r="N84"/>
  <c r="L84"/>
  <c r="O84"/>
  <c r="Q84"/>
  <c r="M84"/>
  <c r="P84"/>
  <c r="R84"/>
  <c r="K85"/>
  <c r="L85"/>
  <c r="M85"/>
  <c r="N85"/>
  <c r="O85"/>
  <c r="P85"/>
  <c r="Q85"/>
  <c r="R85"/>
  <c r="K86"/>
  <c r="L86"/>
  <c r="M86"/>
  <c r="N86"/>
  <c r="O86"/>
  <c r="P86"/>
  <c r="Q86"/>
  <c r="R86"/>
  <c r="K87"/>
  <c r="L87"/>
  <c r="M87"/>
  <c r="N87"/>
  <c r="O87"/>
  <c r="P87"/>
  <c r="Q87"/>
  <c r="R87"/>
  <c r="K88"/>
  <c r="L88"/>
  <c r="M88"/>
  <c r="N88"/>
  <c r="O88"/>
  <c r="P88"/>
  <c r="Q88"/>
  <c r="R88"/>
  <c r="K89"/>
  <c r="L89"/>
  <c r="M89"/>
  <c r="N89"/>
  <c r="O89"/>
  <c r="P89"/>
  <c r="Q89"/>
  <c r="R89"/>
  <c r="K90"/>
  <c r="L90"/>
  <c r="M90"/>
  <c r="N90"/>
  <c r="O90"/>
  <c r="P90"/>
  <c r="Q90"/>
  <c r="R90"/>
  <c r="K91"/>
  <c r="L91"/>
  <c r="M91"/>
  <c r="N91"/>
  <c r="O91"/>
  <c r="P91"/>
  <c r="Q91"/>
  <c r="R91"/>
  <c r="K92"/>
  <c r="L92"/>
  <c r="M92"/>
  <c r="N92"/>
  <c r="O92"/>
  <c r="P92"/>
  <c r="Q92"/>
  <c r="R92"/>
  <c r="K93"/>
  <c r="L93"/>
  <c r="M93"/>
  <c r="N93"/>
  <c r="O93"/>
  <c r="P93"/>
  <c r="Q93"/>
  <c r="R93"/>
  <c r="A84"/>
  <c r="E84"/>
  <c r="E92"/>
  <c r="G92"/>
  <c r="F98"/>
  <c r="F92"/>
  <c r="E98"/>
  <c r="J46"/>
  <c r="D105"/>
  <c r="D108"/>
  <c r="C108"/>
  <c r="B108"/>
  <c r="G87"/>
  <c r="A68"/>
  <c r="F68"/>
  <c r="E68"/>
  <c r="A85"/>
  <c r="E85"/>
  <c r="G93"/>
  <c r="F93"/>
  <c r="E93"/>
  <c r="E99"/>
  <c r="A99"/>
  <c r="A98"/>
  <c r="F99"/>
  <c r="A93"/>
  <c r="A92"/>
  <c r="K46"/>
  <c r="K47"/>
  <c r="J47"/>
</calcChain>
</file>

<file path=xl/sharedStrings.xml><?xml version="1.0" encoding="utf-8"?>
<sst xmlns="http://schemas.openxmlformats.org/spreadsheetml/2006/main" count="241" uniqueCount="160">
  <si>
    <t>Target parameters</t>
    <phoneticPr fontId="5" type="noConversion"/>
  </si>
  <si>
    <t>Results</t>
    <phoneticPr fontId="5" type="noConversion"/>
  </si>
  <si>
    <t>polytropic coefficient</t>
    <phoneticPr fontId="5" type="noConversion"/>
  </si>
  <si>
    <t>W_poly 1 step</t>
    <phoneticPr fontId="5" type="noConversion"/>
  </si>
  <si>
    <t>W_poly # step</t>
    <phoneticPr fontId="5" type="noConversion"/>
  </si>
  <si>
    <t>Expansion &amp; Total CAC Efficiency</t>
    <phoneticPr fontId="5" type="noConversion"/>
  </si>
  <si>
    <t>Rel. Energy Requirements</t>
    <phoneticPr fontId="5" type="noConversion"/>
  </si>
  <si>
    <t>CAC/gasoline</t>
    <phoneticPr fontId="5" type="noConversion"/>
  </si>
  <si>
    <t>GHG</t>
    <phoneticPr fontId="5" type="noConversion"/>
  </si>
  <si>
    <t>Fuel prices</t>
    <phoneticPr fontId="5" type="noConversion"/>
  </si>
  <si>
    <t>%</t>
    <phoneticPr fontId="5" type="noConversion"/>
  </si>
  <si>
    <t>Average transmission loss US</t>
    <phoneticPr fontId="5" type="noConversion"/>
  </si>
  <si>
    <t>From well efficiency</t>
    <phoneticPr fontId="5" type="noConversion"/>
  </si>
  <si>
    <t>%</t>
    <phoneticPr fontId="5" type="noConversion"/>
  </si>
  <si>
    <t>Gasoline</t>
    <phoneticPr fontId="5" type="noConversion"/>
  </si>
  <si>
    <t>-</t>
    <phoneticPr fontId="5" type="noConversion"/>
  </si>
  <si>
    <t>$/gal</t>
    <phoneticPr fontId="5" type="noConversion"/>
  </si>
  <si>
    <t>W_isoth</t>
    <phoneticPr fontId="5" type="noConversion"/>
  </si>
  <si>
    <t>%</t>
    <phoneticPr fontId="5" type="noConversion"/>
  </si>
  <si>
    <t>Compression Efficiency</t>
    <phoneticPr fontId="5" type="noConversion"/>
  </si>
  <si>
    <t>fuel efficiency Smart fortwo, gasoline, NEDC (45 mpg)</t>
    <phoneticPr fontId="5" type="noConversion"/>
  </si>
  <si>
    <t>Germany</t>
    <phoneticPr fontId="5" type="noConversion"/>
  </si>
  <si>
    <t>$/kWh in D</t>
    <phoneticPr fontId="5" type="noConversion"/>
  </si>
  <si>
    <t>$/kWh in CA</t>
    <phoneticPr fontId="5" type="noConversion"/>
  </si>
  <si>
    <t>Road fee $/km</t>
    <phoneticPr fontId="5" type="noConversion"/>
  </si>
  <si>
    <t>Road fee $/kWh</t>
    <phoneticPr fontId="5" type="noConversion"/>
  </si>
  <si>
    <t>California</t>
    <phoneticPr fontId="5" type="noConversion"/>
  </si>
  <si>
    <t>$/kwh CAC</t>
    <phoneticPr fontId="5" type="noConversion"/>
  </si>
  <si>
    <t>$/kwh BEV</t>
    <phoneticPr fontId="5" type="noConversion"/>
  </si>
  <si>
    <t>$/kg/km BEV</t>
    <phoneticPr fontId="5" type="noConversion"/>
  </si>
  <si>
    <t>$/kg/km CAC</t>
    <phoneticPr fontId="5" type="noConversion"/>
  </si>
  <si>
    <t>kgC02-eq/l</t>
    <phoneticPr fontId="5" type="noConversion"/>
  </si>
  <si>
    <t>kWh/100km</t>
    <phoneticPr fontId="5" type="noConversion"/>
  </si>
  <si>
    <t>Expansion 1 step</t>
    <phoneticPr fontId="5" type="noConversion"/>
  </si>
  <si>
    <t>Expansion 2 steps</t>
    <phoneticPr fontId="5" type="noConversion"/>
  </si>
  <si>
    <t>Summary</t>
    <phoneticPr fontId="5" type="noConversion"/>
  </si>
  <si>
    <t>Gas price $/gal</t>
    <phoneticPr fontId="5" type="noConversion"/>
  </si>
  <si>
    <t>Weight kg</t>
    <phoneticPr fontId="5" type="noConversion"/>
  </si>
  <si>
    <t>Gasoline</t>
    <phoneticPr fontId="5" type="noConversion"/>
  </si>
  <si>
    <t>BEV</t>
    <phoneticPr fontId="5" type="noConversion"/>
  </si>
  <si>
    <t>CAC</t>
    <phoneticPr fontId="5" type="noConversion"/>
  </si>
  <si>
    <t>BEV</t>
    <phoneticPr fontId="5" type="noConversion"/>
  </si>
  <si>
    <t>Marginal fuel costs per km $/km</t>
    <phoneticPr fontId="5" type="noConversion"/>
  </si>
  <si>
    <t>Annual fuel costs</t>
    <phoneticPr fontId="5" type="noConversion"/>
  </si>
  <si>
    <t>Total Savings</t>
    <phoneticPr fontId="5" type="noConversion"/>
  </si>
  <si>
    <t>Gasoline</t>
    <phoneticPr fontId="5" type="noConversion"/>
  </si>
  <si>
    <t>Expansion</t>
    <phoneticPr fontId="5" type="noConversion"/>
  </si>
  <si>
    <t>kg</t>
    <phoneticPr fontId="5" type="noConversion"/>
  </si>
  <si>
    <t>Energy Performance</t>
    <phoneticPr fontId="5" type="noConversion"/>
  </si>
  <si>
    <t>Useful conversion factors</t>
    <phoneticPr fontId="5" type="noConversion"/>
  </si>
  <si>
    <t>1 mile in km</t>
    <phoneticPr fontId="5" type="noConversion"/>
  </si>
  <si>
    <t>1 gallon in l</t>
    <phoneticPr fontId="5" type="noConversion"/>
  </si>
  <si>
    <t>Felix Creutzig</t>
    <phoneticPr fontId="0" type="noConversion"/>
  </si>
  <si>
    <t>Gasoline</t>
    <phoneticPr fontId="5" type="noConversion"/>
  </si>
  <si>
    <t>CAC</t>
    <phoneticPr fontId="5" type="noConversion"/>
  </si>
  <si>
    <t>BEV</t>
  </si>
  <si>
    <t>BEV</t>
    <phoneticPr fontId="5" type="noConversion"/>
  </si>
  <si>
    <t>MJ/kg</t>
    <phoneticPr fontId="5" type="noConversion"/>
  </si>
  <si>
    <t>Average tank fill</t>
    <phoneticPr fontId="5" type="noConversion"/>
  </si>
  <si>
    <t>Car weight</t>
    <phoneticPr fontId="5" type="noConversion"/>
  </si>
  <si>
    <t>Fuel weight</t>
    <phoneticPr fontId="5" type="noConversion"/>
  </si>
  <si>
    <t>Car weight modul</t>
    <phoneticPr fontId="5" type="noConversion"/>
  </si>
  <si>
    <t>Range in km</t>
    <phoneticPr fontId="5" type="noConversion"/>
  </si>
  <si>
    <t>BEV/CAC</t>
  </si>
  <si>
    <t>Volume</t>
    <phoneticPr fontId="5" type="noConversion"/>
  </si>
  <si>
    <t>l</t>
    <phoneticPr fontId="5" type="noConversion"/>
  </si>
  <si>
    <t>Total Savings = Break-Even Costs</t>
    <phoneticPr fontId="5" type="noConversion"/>
  </si>
  <si>
    <t>-</t>
    <phoneticPr fontId="5" type="noConversion"/>
  </si>
  <si>
    <t>Current Price</t>
    <phoneticPr fontId="5" type="noConversion"/>
  </si>
  <si>
    <t>Compressed air car (CAC): Economic and Environmental evaluation</t>
    <phoneticPr fontId="0" type="noConversion"/>
  </si>
  <si>
    <t>Temperature T</t>
    <phoneticPr fontId="5" type="noConversion"/>
  </si>
  <si>
    <t># stages</t>
    <phoneticPr fontId="5" type="noConversion"/>
  </si>
  <si>
    <t>kPa</t>
  </si>
  <si>
    <t>L</t>
  </si>
  <si>
    <t xml:space="preserve">K </t>
  </si>
  <si>
    <t>Compression</t>
    <phoneticPr fontId="5" type="noConversion"/>
  </si>
  <si>
    <t>Input Parameters</t>
    <phoneticPr fontId="5" type="noConversion"/>
  </si>
  <si>
    <t>Pressure p_i</t>
    <phoneticPr fontId="5" type="noConversion"/>
  </si>
  <si>
    <t>Volume V_i</t>
    <phoneticPr fontId="5" type="noConversion"/>
  </si>
  <si>
    <t>Pressure p_f</t>
    <phoneticPr fontId="5" type="noConversion"/>
  </si>
  <si>
    <t>Volume V_f</t>
    <phoneticPr fontId="5" type="noConversion"/>
  </si>
  <si>
    <t>MJ</t>
    <phoneticPr fontId="5" type="noConversion"/>
  </si>
  <si>
    <t>MJ</t>
    <phoneticPr fontId="5" type="noConversion"/>
  </si>
  <si>
    <t>Expansion Efficiency</t>
    <phoneticPr fontId="5" type="noConversion"/>
  </si>
  <si>
    <t>Total Efficiency</t>
    <phoneticPr fontId="5" type="noConversion"/>
  </si>
  <si>
    <t>Mechanics/flow</t>
    <phoneticPr fontId="5" type="noConversion"/>
  </si>
  <si>
    <t>Shaft requirements</t>
    <phoneticPr fontId="5" type="noConversion"/>
  </si>
  <si>
    <t>Other efficiencies</t>
    <phoneticPr fontId="5" type="noConversion"/>
  </si>
  <si>
    <t xml:space="preserve">CAC </t>
    <phoneticPr fontId="5" type="noConversion"/>
  </si>
  <si>
    <t>kg</t>
    <phoneticPr fontId="5" type="noConversion"/>
  </si>
  <si>
    <t>weight Smart fortwo + driver</t>
    <phoneticPr fontId="5" type="noConversion"/>
  </si>
  <si>
    <t>l/100km</t>
    <phoneticPr fontId="5" type="noConversion"/>
  </si>
  <si>
    <t>CAC</t>
    <phoneticPr fontId="5" type="noConversion"/>
  </si>
  <si>
    <t>Gasoline</t>
    <phoneticPr fontId="5" type="noConversion"/>
  </si>
  <si>
    <t>CAC</t>
    <phoneticPr fontId="5" type="noConversion"/>
  </si>
  <si>
    <t>BEV</t>
    <phoneticPr fontId="5" type="noConversion"/>
  </si>
  <si>
    <t>GHG</t>
    <phoneticPr fontId="5" type="noConversion"/>
  </si>
  <si>
    <t>Primary Energy</t>
    <phoneticPr fontId="5" type="noConversion"/>
  </si>
  <si>
    <t>Tank volume</t>
    <phoneticPr fontId="5" type="noConversion"/>
  </si>
  <si>
    <t>Fuel costs</t>
    <phoneticPr fontId="5" type="noConversion"/>
  </si>
  <si>
    <t>W_poly 1 step</t>
    <phoneticPr fontId="5" type="noConversion"/>
  </si>
  <si>
    <t>kPa</t>
    <phoneticPr fontId="5" type="noConversion"/>
  </si>
  <si>
    <t>V_i standard</t>
    <phoneticPr fontId="5" type="noConversion"/>
  </si>
  <si>
    <t>p_i standard</t>
    <phoneticPr fontId="5" type="noConversion"/>
  </si>
  <si>
    <t>L</t>
    <phoneticPr fontId="5" type="noConversion"/>
  </si>
  <si>
    <t>MJ</t>
    <phoneticPr fontId="5" type="noConversion"/>
  </si>
  <si>
    <t>W_poly standard</t>
    <phoneticPr fontId="5" type="noConversion"/>
  </si>
  <si>
    <t>1psi in kPa</t>
    <phoneticPr fontId="5" type="noConversion"/>
  </si>
  <si>
    <t>fuel efficiency Smart fortwo ed, electricity, NEDC</t>
    <phoneticPr fontId="5" type="noConversion"/>
  </si>
  <si>
    <t>PGE (California)</t>
    <phoneticPr fontId="5" type="noConversion"/>
  </si>
  <si>
    <t>RWE (Germany)</t>
    <phoneticPr fontId="5" type="noConversion"/>
  </si>
  <si>
    <t>EWS Schönau (Germany)</t>
    <phoneticPr fontId="5" type="noConversion"/>
  </si>
  <si>
    <t>gC02-eq/kWh</t>
  </si>
  <si>
    <t>gC02-eq/kWh</t>
    <phoneticPr fontId="5" type="noConversion"/>
  </si>
  <si>
    <t>GHG Emissions for Fuels and Electricity from Grid</t>
    <phoneticPr fontId="5" type="noConversion"/>
  </si>
  <si>
    <t>factored in: 86% charging efficiency</t>
    <phoneticPr fontId="5" type="noConversion"/>
  </si>
  <si>
    <t xml:space="preserve">CAC-RE </t>
    <phoneticPr fontId="5" type="noConversion"/>
  </si>
  <si>
    <t>BEV-RE</t>
    <phoneticPr fontId="5" type="noConversion"/>
  </si>
  <si>
    <t>CAC-coal</t>
    <phoneticPr fontId="5" type="noConversion"/>
  </si>
  <si>
    <t>BEV-coal</t>
    <phoneticPr fontId="5" type="noConversion"/>
  </si>
  <si>
    <t>thermal efficiency of (coal) plant</t>
    <phoneticPr fontId="5" type="noConversion"/>
  </si>
  <si>
    <t>CAC-RWE</t>
    <phoneticPr fontId="5" type="noConversion"/>
  </si>
  <si>
    <t>BEV-RWE</t>
    <phoneticPr fontId="5" type="noConversion"/>
  </si>
  <si>
    <t>CAC-EWS</t>
    <phoneticPr fontId="5" type="noConversion"/>
  </si>
  <si>
    <t>BEV-EWS</t>
    <phoneticPr fontId="5" type="noConversion"/>
  </si>
  <si>
    <t>CAC-PGE</t>
    <phoneticPr fontId="5" type="noConversion"/>
  </si>
  <si>
    <t>BEV-PGE</t>
    <phoneticPr fontId="5" type="noConversion"/>
  </si>
  <si>
    <t>1 bar in kPa</t>
    <phoneticPr fontId="5" type="noConversion"/>
  </si>
  <si>
    <t>km</t>
    <phoneticPr fontId="5" type="noConversion"/>
  </si>
  <si>
    <t>Annual km driven</t>
    <phoneticPr fontId="5" type="noConversion"/>
  </si>
  <si>
    <t>Annual fuel costs</t>
    <phoneticPr fontId="5" type="noConversion"/>
  </si>
  <si>
    <t>gas</t>
    <phoneticPr fontId="5" type="noConversion"/>
  </si>
  <si>
    <t>gas</t>
    <phoneticPr fontId="5" type="noConversion"/>
  </si>
  <si>
    <t>Marginal fuel costs per km</t>
    <phoneticPr fontId="5" type="noConversion"/>
  </si>
  <si>
    <t>$/km</t>
    <phoneticPr fontId="5" type="noConversion"/>
  </si>
  <si>
    <t>grid</t>
    <phoneticPr fontId="5" type="noConversion"/>
  </si>
  <si>
    <t>$/kg/km</t>
    <phoneticPr fontId="5" type="noConversion"/>
  </si>
  <si>
    <t>Grid</t>
    <phoneticPr fontId="5" type="noConversion"/>
  </si>
  <si>
    <t>Gas price</t>
    <phoneticPr fontId="5" type="noConversion"/>
  </si>
  <si>
    <t>normal car</t>
  </si>
  <si>
    <t>normal car</t>
    <phoneticPr fontId="5" type="noConversion"/>
  </si>
  <si>
    <t>light car</t>
  </si>
  <si>
    <t>light car</t>
    <phoneticPr fontId="5" type="noConversion"/>
  </si>
  <si>
    <t>MJ/km</t>
    <phoneticPr fontId="5" type="noConversion"/>
  </si>
  <si>
    <t>$</t>
    <phoneticPr fontId="5" type="noConversion"/>
  </si>
  <si>
    <t>$</t>
    <phoneticPr fontId="5" type="noConversion"/>
  </si>
  <si>
    <t>Efficiency</t>
    <phoneticPr fontId="5" type="noConversion"/>
  </si>
  <si>
    <t>%</t>
    <phoneticPr fontId="5" type="noConversion"/>
  </si>
  <si>
    <t>1 MJ in kwh</t>
    <phoneticPr fontId="5" type="noConversion"/>
  </si>
  <si>
    <t>Weight</t>
    <phoneticPr fontId="5" type="noConversion"/>
  </si>
  <si>
    <t>gCO2-eq/km</t>
    <phoneticPr fontId="5" type="noConversion"/>
  </si>
  <si>
    <t>MJ/km/kg</t>
    <phoneticPr fontId="5" type="noConversion"/>
  </si>
  <si>
    <t>Normal Energy at Wheel</t>
    <phoneticPr fontId="5" type="noConversion"/>
  </si>
  <si>
    <t xml:space="preserve">MJ/l gasoline </t>
    <phoneticPr fontId="5" type="noConversion"/>
  </si>
  <si>
    <t>Baseline car specifications - side calculation</t>
    <phoneticPr fontId="5" type="noConversion"/>
  </si>
  <si>
    <t>GHG Emissions</t>
    <phoneticPr fontId="5" type="noConversion"/>
  </si>
  <si>
    <t>Gasoline</t>
    <phoneticPr fontId="5" type="noConversion"/>
  </si>
  <si>
    <t>Gasoline</t>
    <phoneticPr fontId="5" type="noConversion"/>
  </si>
  <si>
    <t>E_rs/w</t>
    <phoneticPr fontId="5" type="noConversion"/>
  </si>
  <si>
    <t>Total price</t>
    <phoneticPr fontId="5" type="noConversion"/>
  </si>
</sst>
</file>

<file path=xl/styles.xml><?xml version="1.0" encoding="utf-8"?>
<styleSheet xmlns="http://schemas.openxmlformats.org/spreadsheetml/2006/main">
  <numFmts count="3">
    <numFmt numFmtId="164" formatCode="0.0000"/>
    <numFmt numFmtId="165" formatCode="0.000"/>
    <numFmt numFmtId="166" formatCode="0.0"/>
  </numFmts>
  <fonts count="7">
    <font>
      <sz val="10"/>
      <name val="Verdana"/>
    </font>
    <font>
      <b/>
      <sz val="10"/>
      <name val="Verdana"/>
    </font>
    <font>
      <b/>
      <sz val="10"/>
      <name val="Verdana"/>
    </font>
    <font>
      <b/>
      <sz val="10"/>
      <name val="Verdana"/>
    </font>
    <font>
      <b/>
      <sz val="10"/>
      <name val="Verdana"/>
    </font>
    <font>
      <sz val="8"/>
      <name val="Verdana"/>
    </font>
    <font>
      <sz val="10"/>
      <name val="Arial"/>
    </font>
  </fonts>
  <fills count="12">
    <fill>
      <patternFill patternType="none"/>
    </fill>
    <fill>
      <patternFill patternType="gray125"/>
    </fill>
    <fill>
      <patternFill patternType="solid">
        <fgColor indexed="52"/>
        <bgColor indexed="64"/>
      </patternFill>
    </fill>
    <fill>
      <patternFill patternType="solid">
        <fgColor indexed="22"/>
        <bgColor indexed="64"/>
      </patternFill>
    </fill>
    <fill>
      <patternFill patternType="solid">
        <fgColor indexed="42"/>
        <bgColor indexed="64"/>
      </patternFill>
    </fill>
    <fill>
      <patternFill patternType="solid">
        <fgColor indexed="57"/>
        <bgColor indexed="64"/>
      </patternFill>
    </fill>
    <fill>
      <patternFill patternType="solid">
        <fgColor indexed="41"/>
        <bgColor indexed="64"/>
      </patternFill>
    </fill>
    <fill>
      <patternFill patternType="solid">
        <fgColor indexed="23"/>
        <bgColor indexed="64"/>
      </patternFill>
    </fill>
    <fill>
      <patternFill patternType="solid">
        <fgColor indexed="50"/>
        <bgColor indexed="64"/>
      </patternFill>
    </fill>
    <fill>
      <patternFill patternType="solid">
        <fgColor indexed="53"/>
        <bgColor indexed="64"/>
      </patternFill>
    </fill>
    <fill>
      <patternFill patternType="solid">
        <fgColor indexed="55"/>
        <bgColor indexed="64"/>
      </patternFill>
    </fill>
    <fill>
      <patternFill patternType="solid">
        <fgColor indexed="40"/>
        <bgColor indexed="64"/>
      </patternFill>
    </fill>
  </fills>
  <borders count="1">
    <border>
      <left/>
      <right/>
      <top/>
      <bottom/>
      <diagonal/>
    </border>
  </borders>
  <cellStyleXfs count="1">
    <xf numFmtId="0" fontId="0" fillId="0" borderId="0"/>
  </cellStyleXfs>
  <cellXfs count="73">
    <xf numFmtId="0" fontId="0" fillId="0" borderId="0" xfId="0"/>
    <xf numFmtId="14" fontId="0" fillId="0" borderId="0" xfId="0" applyNumberFormat="1"/>
    <xf numFmtId="15" fontId="0" fillId="0" borderId="0" xfId="0" applyNumberFormat="1"/>
    <xf numFmtId="0" fontId="4" fillId="0" borderId="0" xfId="0" applyFont="1"/>
    <xf numFmtId="0" fontId="0" fillId="3" borderId="0" xfId="0" applyFill="1"/>
    <xf numFmtId="0" fontId="0" fillId="6" borderId="0" xfId="0" applyFill="1"/>
    <xf numFmtId="0" fontId="0" fillId="4" borderId="0" xfId="0" applyFill="1"/>
    <xf numFmtId="166" fontId="0" fillId="4" borderId="0" xfId="0" applyNumberFormat="1" applyFill="1"/>
    <xf numFmtId="166" fontId="0" fillId="4" borderId="0" xfId="0" applyNumberFormat="1" applyFill="1"/>
    <xf numFmtId="166" fontId="0" fillId="4" borderId="0" xfId="0" applyNumberFormat="1" applyFill="1"/>
    <xf numFmtId="0" fontId="6" fillId="3" borderId="0" xfId="0" applyFont="1" applyFill="1"/>
    <xf numFmtId="3" fontId="0" fillId="3" borderId="0" xfId="0" applyNumberFormat="1" applyFill="1"/>
    <xf numFmtId="0" fontId="4" fillId="3" borderId="0" xfId="0" applyFont="1" applyFill="1"/>
    <xf numFmtId="0" fontId="4" fillId="5" borderId="0" xfId="0" applyFont="1" applyFill="1"/>
    <xf numFmtId="165" fontId="0" fillId="4" borderId="0" xfId="0" applyNumberFormat="1" applyFill="1"/>
    <xf numFmtId="166" fontId="0" fillId="4" borderId="0" xfId="0" applyNumberFormat="1" applyFill="1"/>
    <xf numFmtId="166" fontId="0" fillId="4" borderId="0" xfId="0" applyNumberFormat="1" applyFill="1"/>
    <xf numFmtId="166" fontId="0" fillId="3" borderId="0" xfId="0" applyNumberFormat="1" applyFill="1"/>
    <xf numFmtId="2" fontId="0" fillId="4" borderId="0" xfId="0" applyNumberFormat="1" applyFill="1"/>
    <xf numFmtId="166" fontId="0" fillId="3" borderId="0" xfId="0" applyNumberFormat="1" applyFill="1"/>
    <xf numFmtId="164" fontId="0" fillId="3" borderId="0" xfId="0" applyNumberFormat="1" applyFill="1"/>
    <xf numFmtId="166" fontId="0" fillId="3" borderId="0" xfId="0" applyNumberFormat="1" applyFill="1"/>
    <xf numFmtId="2" fontId="0" fillId="6" borderId="0" xfId="0" applyNumberFormat="1" applyFill="1"/>
    <xf numFmtId="2" fontId="0" fillId="6" borderId="0" xfId="0" applyNumberFormat="1" applyFill="1"/>
    <xf numFmtId="164" fontId="0" fillId="6" borderId="0" xfId="0" applyNumberFormat="1" applyFill="1"/>
    <xf numFmtId="0" fontId="4" fillId="6" borderId="0" xfId="0" applyFont="1" applyFill="1"/>
    <xf numFmtId="166" fontId="0" fillId="4" borderId="0" xfId="0" applyNumberFormat="1" applyFill="1"/>
    <xf numFmtId="165" fontId="0" fillId="4" borderId="0" xfId="0" applyNumberFormat="1" applyFill="1"/>
    <xf numFmtId="1" fontId="0" fillId="4" borderId="0" xfId="0" applyNumberFormat="1" applyFill="1"/>
    <xf numFmtId="0" fontId="0" fillId="8" borderId="0" xfId="0" applyFill="1"/>
    <xf numFmtId="165" fontId="0" fillId="4" borderId="0" xfId="0" applyNumberFormat="1" applyFill="1"/>
    <xf numFmtId="0" fontId="0" fillId="7" borderId="0" xfId="0" applyFill="1"/>
    <xf numFmtId="1" fontId="0" fillId="7" borderId="0" xfId="0" applyNumberFormat="1" applyFill="1"/>
    <xf numFmtId="166" fontId="0" fillId="8" borderId="0" xfId="0" applyNumberFormat="1" applyFill="1"/>
    <xf numFmtId="165" fontId="0" fillId="3" borderId="0" xfId="0" applyNumberFormat="1" applyFill="1"/>
    <xf numFmtId="0" fontId="0" fillId="9" borderId="0" xfId="0" applyFill="1"/>
    <xf numFmtId="0" fontId="0" fillId="10" borderId="0" xfId="0" applyFill="1"/>
    <xf numFmtId="166" fontId="0" fillId="10" borderId="0" xfId="0" applyNumberFormat="1" applyFill="1"/>
    <xf numFmtId="2" fontId="0" fillId="10" borderId="0" xfId="0" applyNumberFormat="1" applyFill="1"/>
    <xf numFmtId="0" fontId="3" fillId="10" borderId="0" xfId="0" applyFont="1" applyFill="1"/>
    <xf numFmtId="0" fontId="3" fillId="9" borderId="0" xfId="0" applyFont="1" applyFill="1"/>
    <xf numFmtId="1" fontId="6" fillId="3" borderId="0" xfId="0" applyNumberFormat="1" applyFont="1" applyFill="1" applyBorder="1"/>
    <xf numFmtId="0" fontId="0" fillId="0" borderId="0" xfId="0" applyFill="1"/>
    <xf numFmtId="0" fontId="3" fillId="3" borderId="0" xfId="0" applyFont="1" applyFill="1"/>
    <xf numFmtId="0" fontId="3" fillId="6" borderId="0" xfId="0" applyFont="1" applyFill="1"/>
    <xf numFmtId="166" fontId="0" fillId="3" borderId="0" xfId="0" applyNumberFormat="1" applyFill="1"/>
    <xf numFmtId="166" fontId="0" fillId="4" borderId="0" xfId="0" applyNumberFormat="1" applyFill="1"/>
    <xf numFmtId="165" fontId="0" fillId="10" borderId="0" xfId="0" applyNumberFormat="1" applyFill="1"/>
    <xf numFmtId="0" fontId="4" fillId="2" borderId="0" xfId="0" applyFont="1" applyFill="1" applyAlignment="1">
      <alignment horizontal="center"/>
    </xf>
    <xf numFmtId="2" fontId="0" fillId="4" borderId="0" xfId="0" applyNumberFormat="1" applyFill="1"/>
    <xf numFmtId="165" fontId="0" fillId="4" borderId="0" xfId="0" applyNumberFormat="1" applyFill="1"/>
    <xf numFmtId="1" fontId="0" fillId="4" borderId="0" xfId="0" applyNumberFormat="1" applyFill="1"/>
    <xf numFmtId="0" fontId="2" fillId="9" borderId="0" xfId="0" applyFont="1" applyFill="1"/>
    <xf numFmtId="2" fontId="0" fillId="6" borderId="0" xfId="0" applyNumberFormat="1" applyFill="1"/>
    <xf numFmtId="0" fontId="0" fillId="2" borderId="0" xfId="0" applyFill="1"/>
    <xf numFmtId="2" fontId="0" fillId="4" borderId="0" xfId="0" applyNumberFormat="1" applyFill="1"/>
    <xf numFmtId="0" fontId="0" fillId="11" borderId="0" xfId="0" applyFill="1"/>
    <xf numFmtId="2" fontId="0" fillId="4" borderId="0" xfId="0" applyNumberFormat="1" applyFill="1"/>
    <xf numFmtId="2" fontId="0" fillId="4" borderId="0" xfId="0" applyNumberFormat="1" applyFill="1"/>
    <xf numFmtId="164" fontId="0" fillId="3" borderId="0" xfId="0" applyNumberFormat="1" applyFill="1"/>
    <xf numFmtId="165" fontId="0" fillId="3" borderId="0" xfId="0" applyNumberFormat="1" applyFill="1"/>
    <xf numFmtId="0" fontId="1" fillId="3" borderId="0" xfId="0" applyFont="1" applyFill="1"/>
    <xf numFmtId="165" fontId="0" fillId="3" borderId="0" xfId="0" applyNumberFormat="1" applyFill="1"/>
    <xf numFmtId="0" fontId="4" fillId="2" borderId="0" xfId="0" applyFont="1" applyFill="1" applyAlignment="1">
      <alignment horizontal="center"/>
    </xf>
    <xf numFmtId="0" fontId="4" fillId="3" borderId="0" xfId="0" applyFont="1" applyFill="1" applyAlignment="1"/>
    <xf numFmtId="0" fontId="0" fillId="0" borderId="0" xfId="0" applyAlignment="1">
      <alignment horizontal="center"/>
    </xf>
    <xf numFmtId="0" fontId="0" fillId="0" borderId="0" xfId="0" applyAlignment="1"/>
    <xf numFmtId="0" fontId="4" fillId="6" borderId="0" xfId="0" applyFont="1" applyFill="1" applyAlignment="1"/>
    <xf numFmtId="0" fontId="4" fillId="5" borderId="0" xfId="0" applyFont="1" applyFill="1" applyAlignment="1"/>
    <xf numFmtId="0" fontId="0" fillId="5" borderId="0" xfId="0" applyFill="1" applyAlignment="1"/>
    <xf numFmtId="0" fontId="2" fillId="9" borderId="0" xfId="0" applyFont="1" applyFill="1" applyAlignment="1"/>
    <xf numFmtId="0" fontId="4" fillId="0" borderId="0" xfId="0" applyFont="1" applyFill="1" applyAlignment="1"/>
    <xf numFmtId="0" fontId="3" fillId="2" borderId="0" xfId="0" applyFont="1" applyFill="1" applyAlignment="1">
      <alignment horizontal="center"/>
    </xf>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6" Type="http://schemas.openxmlformats.org/officeDocument/2006/relationships/calcChain" Target="calcChain.xml"/><Relationship Id="rId4"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theme" Target="theme/theme1.xml"/><Relationship Id="rId5"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style val="1"/>
  <c:chart>
    <c:title>
      <c:tx>
        <c:rich>
          <a:bodyPr/>
          <a:lstStyle/>
          <a:p>
            <a:pPr>
              <a:defRPr/>
            </a:pPr>
            <a:r>
              <a:rPr lang="en-US"/>
              <a:t>Primary energy</a:t>
            </a:r>
            <a:r>
              <a:rPr lang="en-US" baseline="0"/>
              <a:t> </a:t>
            </a:r>
            <a:r>
              <a:rPr lang="en-US"/>
              <a:t>in MJ/km</a:t>
            </a:r>
          </a:p>
        </c:rich>
      </c:tx>
      <c:layout/>
    </c:title>
    <c:view3D>
      <c:rAngAx val="1"/>
    </c:view3D>
    <c:plotArea>
      <c:layout/>
      <c:bar3DChart>
        <c:barDir val="col"/>
        <c:grouping val="clustered"/>
        <c:ser>
          <c:idx val="0"/>
          <c:order val="0"/>
          <c:tx>
            <c:strRef>
              <c:f>Sheet1!$D$46</c:f>
              <c:strCache>
                <c:ptCount val="1"/>
                <c:pt idx="0">
                  <c:v>normal car</c:v>
                </c:pt>
              </c:strCache>
            </c:strRef>
          </c:tx>
          <c:cat>
            <c:strRef>
              <c:f>Sheet1!$E$45:$I$45</c:f>
              <c:strCache>
                <c:ptCount val="5"/>
                <c:pt idx="0">
                  <c:v>Gasoline</c:v>
                </c:pt>
                <c:pt idx="1">
                  <c:v>CAC-RE </c:v>
                </c:pt>
                <c:pt idx="2">
                  <c:v>BEV-RE</c:v>
                </c:pt>
                <c:pt idx="3">
                  <c:v>CAC-coal</c:v>
                </c:pt>
                <c:pt idx="4">
                  <c:v>BEV-coal</c:v>
                </c:pt>
              </c:strCache>
            </c:strRef>
          </c:cat>
          <c:val>
            <c:numRef>
              <c:f>Sheet1!$E$46:$I$46</c:f>
              <c:numCache>
                <c:formatCode>0.00</c:formatCode>
                <c:ptCount val="5"/>
                <c:pt idx="0">
                  <c:v>2.140674914877321</c:v>
                </c:pt>
                <c:pt idx="1">
                  <c:v>1.494103647589238</c:v>
                </c:pt>
                <c:pt idx="2">
                  <c:v>0.614402706777301</c:v>
                </c:pt>
                <c:pt idx="3">
                  <c:v>3.735259118973095</c:v>
                </c:pt>
                <c:pt idx="4">
                  <c:v>1.536006766943252</c:v>
                </c:pt>
              </c:numCache>
            </c:numRef>
          </c:val>
        </c:ser>
        <c:ser>
          <c:idx val="1"/>
          <c:order val="1"/>
          <c:tx>
            <c:strRef>
              <c:f>Sheet1!$D$47</c:f>
              <c:strCache>
                <c:ptCount val="1"/>
                <c:pt idx="0">
                  <c:v>light car</c:v>
                </c:pt>
              </c:strCache>
            </c:strRef>
          </c:tx>
          <c:cat>
            <c:strRef>
              <c:f>Sheet1!$E$45:$I$45</c:f>
              <c:strCache>
                <c:ptCount val="5"/>
                <c:pt idx="0">
                  <c:v>Gasoline</c:v>
                </c:pt>
                <c:pt idx="1">
                  <c:v>CAC-RE </c:v>
                </c:pt>
                <c:pt idx="2">
                  <c:v>BEV-RE</c:v>
                </c:pt>
                <c:pt idx="3">
                  <c:v>CAC-coal</c:v>
                </c:pt>
                <c:pt idx="4">
                  <c:v>BEV-coal</c:v>
                </c:pt>
              </c:strCache>
            </c:strRef>
          </c:cat>
          <c:val>
            <c:numRef>
              <c:f>Sheet1!$E$47:$I$47</c:f>
              <c:numCache>
                <c:formatCode>0.00</c:formatCode>
                <c:ptCount val="5"/>
                <c:pt idx="0">
                  <c:v>0.713558304959107</c:v>
                </c:pt>
                <c:pt idx="1">
                  <c:v>0.498034549196413</c:v>
                </c:pt>
                <c:pt idx="2">
                  <c:v>0.2048009022591</c:v>
                </c:pt>
                <c:pt idx="3">
                  <c:v>1.245086372991032</c:v>
                </c:pt>
                <c:pt idx="4">
                  <c:v>0.512002255647751</c:v>
                </c:pt>
              </c:numCache>
            </c:numRef>
          </c:val>
        </c:ser>
        <c:shape val="box"/>
        <c:axId val="546618152"/>
        <c:axId val="546636488"/>
        <c:axId val="0"/>
      </c:bar3DChart>
      <c:catAx>
        <c:axId val="546618152"/>
        <c:scaling>
          <c:orientation val="minMax"/>
        </c:scaling>
        <c:axPos val="b"/>
        <c:tickLblPos val="nextTo"/>
        <c:crossAx val="546636488"/>
        <c:crosses val="autoZero"/>
        <c:auto val="1"/>
        <c:lblAlgn val="ctr"/>
        <c:lblOffset val="100"/>
      </c:catAx>
      <c:valAx>
        <c:axId val="546636488"/>
        <c:scaling>
          <c:orientation val="minMax"/>
        </c:scaling>
        <c:axPos val="l"/>
        <c:numFmt formatCode="0.00" sourceLinked="1"/>
        <c:tickLblPos val="nextTo"/>
        <c:crossAx val="546618152"/>
        <c:crosses val="autoZero"/>
        <c:crossBetween val="between"/>
      </c:valAx>
    </c:plotArea>
    <c:legend>
      <c:legendPos val="r"/>
      <c:layout>
        <c:manualLayout>
          <c:xMode val="edge"/>
          <c:yMode val="edge"/>
          <c:x val="0.233536500434672"/>
          <c:y val="0.191721034870641"/>
          <c:w val="0.219241003362643"/>
          <c:h val="0.171001292748854"/>
        </c:manualLayout>
      </c:layout>
    </c:legend>
    <c:plotVisOnly val="1"/>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style val="1"/>
  <c:chart>
    <c:title>
      <c:tx>
        <c:rich>
          <a:bodyPr/>
          <a:lstStyle/>
          <a:p>
            <a:pPr>
              <a:defRPr/>
            </a:pPr>
            <a:r>
              <a:rPr lang="en-US"/>
              <a:t>GHG Emissions in gCO2/km</a:t>
            </a:r>
          </a:p>
        </c:rich>
      </c:tx>
      <c:layout>
        <c:manualLayout>
          <c:xMode val="edge"/>
          <c:yMode val="edge"/>
          <c:x val="0.337596171184709"/>
          <c:y val="0.00717703281684127"/>
        </c:manualLayout>
      </c:layout>
    </c:title>
    <c:view3D>
      <c:rAngAx val="1"/>
    </c:view3D>
    <c:plotArea>
      <c:layout/>
      <c:bar3DChart>
        <c:barDir val="col"/>
        <c:grouping val="clustered"/>
        <c:ser>
          <c:idx val="0"/>
          <c:order val="0"/>
          <c:tx>
            <c:strRef>
              <c:f>Sheet1!$D$61</c:f>
              <c:strCache>
                <c:ptCount val="1"/>
                <c:pt idx="0">
                  <c:v>normal car</c:v>
                </c:pt>
              </c:strCache>
            </c:strRef>
          </c:tx>
          <c:cat>
            <c:strRef>
              <c:f>Sheet1!$E$60:$K$60</c:f>
              <c:strCache>
                <c:ptCount val="7"/>
                <c:pt idx="0">
                  <c:v>Gasoline</c:v>
                </c:pt>
                <c:pt idx="1">
                  <c:v>CAC-RWE</c:v>
                </c:pt>
                <c:pt idx="2">
                  <c:v>BEV-RWE</c:v>
                </c:pt>
                <c:pt idx="3">
                  <c:v>CAC-EWS</c:v>
                </c:pt>
                <c:pt idx="4">
                  <c:v>BEV-EWS</c:v>
                </c:pt>
                <c:pt idx="5">
                  <c:v>CAC-PGE</c:v>
                </c:pt>
                <c:pt idx="6">
                  <c:v>BEV-PGE</c:v>
                </c:pt>
              </c:strCache>
            </c:strRef>
          </c:cat>
          <c:val>
            <c:numRef>
              <c:f>Sheet1!$E$61:$K$61</c:f>
              <c:numCache>
                <c:formatCode>0.00</c:formatCode>
                <c:ptCount val="7"/>
                <c:pt idx="0">
                  <c:v>120.64</c:v>
                </c:pt>
                <c:pt idx="1">
                  <c:v>333.3051728067089</c:v>
                </c:pt>
                <c:pt idx="2">
                  <c:v>125.5611729019211</c:v>
                </c:pt>
                <c:pt idx="3">
                  <c:v>6.500766053614501</c:v>
                </c:pt>
                <c:pt idx="4">
                  <c:v>2.448938321536906</c:v>
                </c:pt>
                <c:pt idx="5">
                  <c:v>89.43250409018793</c:v>
                </c:pt>
                <c:pt idx="6">
                  <c:v>33.69059656218402</c:v>
                </c:pt>
              </c:numCache>
            </c:numRef>
          </c:val>
        </c:ser>
        <c:ser>
          <c:idx val="1"/>
          <c:order val="1"/>
          <c:tx>
            <c:strRef>
              <c:f>Sheet1!$D$62</c:f>
              <c:strCache>
                <c:ptCount val="1"/>
                <c:pt idx="0">
                  <c:v>light car</c:v>
                </c:pt>
              </c:strCache>
            </c:strRef>
          </c:tx>
          <c:cat>
            <c:strRef>
              <c:f>Sheet1!$E$60:$K$60</c:f>
              <c:strCache>
                <c:ptCount val="7"/>
                <c:pt idx="0">
                  <c:v>Gasoline</c:v>
                </c:pt>
                <c:pt idx="1">
                  <c:v>CAC-RWE</c:v>
                </c:pt>
                <c:pt idx="2">
                  <c:v>BEV-RWE</c:v>
                </c:pt>
                <c:pt idx="3">
                  <c:v>CAC-EWS</c:v>
                </c:pt>
                <c:pt idx="4">
                  <c:v>BEV-EWS</c:v>
                </c:pt>
                <c:pt idx="5">
                  <c:v>CAC-PGE</c:v>
                </c:pt>
                <c:pt idx="6">
                  <c:v>BEV-PGE</c:v>
                </c:pt>
              </c:strCache>
            </c:strRef>
          </c:cat>
          <c:val>
            <c:numRef>
              <c:f>Sheet1!$E$62:$K$62</c:f>
              <c:numCache>
                <c:formatCode>0.00</c:formatCode>
                <c:ptCount val="7"/>
                <c:pt idx="0">
                  <c:v>40.21333333333333</c:v>
                </c:pt>
                <c:pt idx="1">
                  <c:v>111.101724268903</c:v>
                </c:pt>
                <c:pt idx="2">
                  <c:v>41.85372430064038</c:v>
                </c:pt>
                <c:pt idx="3">
                  <c:v>2.1669220178715</c:v>
                </c:pt>
                <c:pt idx="4">
                  <c:v>0.816312773845635</c:v>
                </c:pt>
                <c:pt idx="5">
                  <c:v>29.81083469672931</c:v>
                </c:pt>
                <c:pt idx="6">
                  <c:v>11.23019885406134</c:v>
                </c:pt>
              </c:numCache>
            </c:numRef>
          </c:val>
        </c:ser>
        <c:shape val="box"/>
        <c:axId val="546718824"/>
        <c:axId val="546728056"/>
        <c:axId val="0"/>
      </c:bar3DChart>
      <c:catAx>
        <c:axId val="546718824"/>
        <c:scaling>
          <c:orientation val="minMax"/>
        </c:scaling>
        <c:axPos val="b"/>
        <c:tickLblPos val="nextTo"/>
        <c:crossAx val="546728056"/>
        <c:crosses val="autoZero"/>
        <c:auto val="1"/>
        <c:lblAlgn val="ctr"/>
        <c:lblOffset val="100"/>
      </c:catAx>
      <c:valAx>
        <c:axId val="546728056"/>
        <c:scaling>
          <c:orientation val="minMax"/>
        </c:scaling>
        <c:axPos val="l"/>
        <c:numFmt formatCode="0.00" sourceLinked="1"/>
        <c:tickLblPos val="nextTo"/>
        <c:crossAx val="546718824"/>
        <c:crosses val="autoZero"/>
        <c:crossBetween val="between"/>
      </c:valAx>
    </c:plotArea>
    <c:legend>
      <c:legendPos val="r"/>
      <c:layout>
        <c:manualLayout>
          <c:xMode val="edge"/>
          <c:yMode val="edge"/>
          <c:x val="0.486154199475066"/>
          <c:y val="0.213967993584135"/>
          <c:w val="0.229594050743657"/>
          <c:h val="0.212168270632838"/>
        </c:manualLayout>
      </c:layout>
    </c:legend>
    <c:plotVisOnly val="1"/>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1"/>
  <c:lang val="en-US"/>
  <c:style val="1"/>
  <c:chart>
    <c:title>
      <c:tx>
        <c:rich>
          <a:bodyPr/>
          <a:lstStyle/>
          <a:p>
            <a:pPr>
              <a:defRPr/>
            </a:pPr>
            <a:r>
              <a:rPr lang="en-US"/>
              <a:t>Fuel volume in l for 150km range</a:t>
            </a:r>
          </a:p>
        </c:rich>
      </c:tx>
      <c:layout>
        <c:manualLayout>
          <c:xMode val="edge"/>
          <c:yMode val="edge"/>
          <c:x val="0.131414341746091"/>
          <c:y val="0.0215827338129496"/>
        </c:manualLayout>
      </c:layout>
    </c:title>
    <c:view3D>
      <c:rAngAx val="1"/>
    </c:view3D>
    <c:plotArea>
      <c:layout/>
      <c:bar3DChart>
        <c:barDir val="col"/>
        <c:grouping val="clustered"/>
        <c:ser>
          <c:idx val="0"/>
          <c:order val="0"/>
          <c:tx>
            <c:strRef>
              <c:f>Sheet1!$D$67</c:f>
              <c:strCache>
                <c:ptCount val="1"/>
                <c:pt idx="0">
                  <c:v>normal car</c:v>
                </c:pt>
              </c:strCache>
            </c:strRef>
          </c:tx>
          <c:cat>
            <c:strRef>
              <c:f>Sheet1!$E$66:$G$66</c:f>
              <c:strCache>
                <c:ptCount val="3"/>
                <c:pt idx="0">
                  <c:v>Gasoline</c:v>
                </c:pt>
                <c:pt idx="1">
                  <c:v>CAC </c:v>
                </c:pt>
                <c:pt idx="2">
                  <c:v>BEV</c:v>
                </c:pt>
              </c:strCache>
            </c:strRef>
          </c:cat>
          <c:val>
            <c:numRef>
              <c:f>Sheet1!$E$67:$G$67</c:f>
              <c:numCache>
                <c:formatCode>0.0</c:formatCode>
                <c:ptCount val="3"/>
                <c:pt idx="0">
                  <c:v>3.610730233321231</c:v>
                </c:pt>
                <c:pt idx="1">
                  <c:v>781.1955103972533</c:v>
                </c:pt>
                <c:pt idx="2">
                  <c:v>374.1705315733143</c:v>
                </c:pt>
              </c:numCache>
            </c:numRef>
          </c:val>
        </c:ser>
        <c:ser>
          <c:idx val="1"/>
          <c:order val="1"/>
          <c:tx>
            <c:strRef>
              <c:f>Sheet1!$D$68</c:f>
              <c:strCache>
                <c:ptCount val="1"/>
                <c:pt idx="0">
                  <c:v>light car</c:v>
                </c:pt>
              </c:strCache>
            </c:strRef>
          </c:tx>
          <c:cat>
            <c:strRef>
              <c:f>Sheet1!$E$66:$G$66</c:f>
              <c:strCache>
                <c:ptCount val="3"/>
                <c:pt idx="0">
                  <c:v>Gasoline</c:v>
                </c:pt>
                <c:pt idx="1">
                  <c:v>CAC </c:v>
                </c:pt>
                <c:pt idx="2">
                  <c:v>BEV</c:v>
                </c:pt>
              </c:strCache>
            </c:strRef>
          </c:cat>
          <c:val>
            <c:numRef>
              <c:f>Sheet1!$E$68:$G$68</c:f>
              <c:numCache>
                <c:formatCode>0.0</c:formatCode>
                <c:ptCount val="3"/>
                <c:pt idx="0">
                  <c:v>1.20357674444041</c:v>
                </c:pt>
                <c:pt idx="1">
                  <c:v>260.398503465751</c:v>
                </c:pt>
                <c:pt idx="2">
                  <c:v>124.7235105244381</c:v>
                </c:pt>
              </c:numCache>
            </c:numRef>
          </c:val>
        </c:ser>
        <c:shape val="box"/>
        <c:axId val="546866392"/>
        <c:axId val="546883816"/>
        <c:axId val="0"/>
      </c:bar3DChart>
      <c:catAx>
        <c:axId val="546866392"/>
        <c:scaling>
          <c:orientation val="minMax"/>
        </c:scaling>
        <c:axPos val="b"/>
        <c:tickLblPos val="nextTo"/>
        <c:crossAx val="546883816"/>
        <c:crosses val="autoZero"/>
        <c:auto val="1"/>
        <c:lblAlgn val="ctr"/>
        <c:lblOffset val="100"/>
      </c:catAx>
      <c:valAx>
        <c:axId val="546883816"/>
        <c:scaling>
          <c:orientation val="minMax"/>
        </c:scaling>
        <c:axPos val="l"/>
        <c:numFmt formatCode="0.0" sourceLinked="1"/>
        <c:tickLblPos val="nextTo"/>
        <c:crossAx val="546866392"/>
        <c:crosses val="autoZero"/>
        <c:crossBetween val="between"/>
      </c:valAx>
    </c:plotArea>
    <c:legend>
      <c:legendPos val="r"/>
      <c:layout>
        <c:manualLayout>
          <c:xMode val="edge"/>
          <c:yMode val="edge"/>
          <c:x val="0.561598229312155"/>
          <c:y val="0.167315187220302"/>
          <c:w val="0.229594050743657"/>
          <c:h val="0.212168270632838"/>
        </c:manualLayout>
      </c:layout>
    </c:legend>
    <c:plotVisOnly val="1"/>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1"/>
  <c:lang val="en-US"/>
  <c:style val="1"/>
  <c:chart>
    <c:title>
      <c:tx>
        <c:rich>
          <a:bodyPr/>
          <a:lstStyle/>
          <a:p>
            <a:pPr>
              <a:defRPr/>
            </a:pPr>
            <a:r>
              <a:rPr lang="en-US"/>
              <a:t>Annual fuel costs in $</a:t>
            </a:r>
          </a:p>
        </c:rich>
      </c:tx>
      <c:layout/>
    </c:title>
    <c:view3D>
      <c:rAngAx val="1"/>
    </c:view3D>
    <c:plotArea>
      <c:layout/>
      <c:bar3DChart>
        <c:barDir val="col"/>
        <c:grouping val="clustered"/>
        <c:ser>
          <c:idx val="0"/>
          <c:order val="0"/>
          <c:tx>
            <c:strRef>
              <c:f>Sheet1!$D$92</c:f>
              <c:strCache>
                <c:ptCount val="1"/>
                <c:pt idx="0">
                  <c:v>normal car</c:v>
                </c:pt>
              </c:strCache>
            </c:strRef>
          </c:tx>
          <c:cat>
            <c:strRef>
              <c:f>Sheet1!$E$91:$G$91</c:f>
              <c:strCache>
                <c:ptCount val="3"/>
                <c:pt idx="0">
                  <c:v>Gasoline</c:v>
                </c:pt>
                <c:pt idx="1">
                  <c:v>CAC </c:v>
                </c:pt>
                <c:pt idx="2">
                  <c:v>BEV</c:v>
                </c:pt>
              </c:strCache>
            </c:strRef>
          </c:cat>
          <c:val>
            <c:numRef>
              <c:f>Sheet1!$E$92:$G$92</c:f>
              <c:numCache>
                <c:formatCode>0</c:formatCode>
                <c:ptCount val="3"/>
                <c:pt idx="0">
                  <c:v>2037.969118689384</c:v>
                </c:pt>
                <c:pt idx="1">
                  <c:v>2416.022798613011</c:v>
                </c:pt>
                <c:pt idx="2">
                  <c:v>1351.199158064516</c:v>
                </c:pt>
              </c:numCache>
            </c:numRef>
          </c:val>
        </c:ser>
        <c:ser>
          <c:idx val="1"/>
          <c:order val="1"/>
          <c:tx>
            <c:strRef>
              <c:f>Sheet1!$D$93</c:f>
              <c:strCache>
                <c:ptCount val="1"/>
                <c:pt idx="0">
                  <c:v>light car</c:v>
                </c:pt>
              </c:strCache>
            </c:strRef>
          </c:tx>
          <c:cat>
            <c:strRef>
              <c:f>Sheet1!$E$91:$G$91</c:f>
              <c:strCache>
                <c:ptCount val="3"/>
                <c:pt idx="0">
                  <c:v>Gasoline</c:v>
                </c:pt>
                <c:pt idx="1">
                  <c:v>CAC </c:v>
                </c:pt>
                <c:pt idx="2">
                  <c:v>BEV</c:v>
                </c:pt>
              </c:strCache>
            </c:strRef>
          </c:cat>
          <c:val>
            <c:numRef>
              <c:f>Sheet1!$E$93:$G$93</c:f>
              <c:numCache>
                <c:formatCode>0</c:formatCode>
                <c:ptCount val="3"/>
                <c:pt idx="0">
                  <c:v>679.3230395631278</c:v>
                </c:pt>
                <c:pt idx="1">
                  <c:v>805.3409328710037</c:v>
                </c:pt>
                <c:pt idx="2">
                  <c:v>450.3997193548387</c:v>
                </c:pt>
              </c:numCache>
            </c:numRef>
          </c:val>
        </c:ser>
        <c:shape val="box"/>
        <c:axId val="546901464"/>
        <c:axId val="546918744"/>
        <c:axId val="0"/>
      </c:bar3DChart>
      <c:catAx>
        <c:axId val="546901464"/>
        <c:scaling>
          <c:orientation val="minMax"/>
        </c:scaling>
        <c:axPos val="b"/>
        <c:tickLblPos val="nextTo"/>
        <c:crossAx val="546918744"/>
        <c:crosses val="autoZero"/>
        <c:auto val="1"/>
        <c:lblAlgn val="ctr"/>
        <c:lblOffset val="100"/>
      </c:catAx>
      <c:valAx>
        <c:axId val="546918744"/>
        <c:scaling>
          <c:orientation val="minMax"/>
        </c:scaling>
        <c:axPos val="l"/>
        <c:numFmt formatCode="0" sourceLinked="1"/>
        <c:tickLblPos val="nextTo"/>
        <c:crossAx val="546901464"/>
        <c:crosses val="autoZero"/>
        <c:crossBetween val="between"/>
      </c:valAx>
    </c:plotArea>
    <c:legend>
      <c:legendPos val="r"/>
      <c:layout>
        <c:manualLayout>
          <c:xMode val="edge"/>
          <c:yMode val="edge"/>
          <c:x val="0.473183727034121"/>
          <c:y val="0.234563648293963"/>
          <c:w val="0.229594050743657"/>
          <c:h val="0.212168270632838"/>
        </c:manualLayout>
      </c:layout>
    </c:legend>
    <c:plotVisOnly val="1"/>
  </c:chart>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1"/>
  <c:lang val="en-US"/>
  <c:style val="1"/>
  <c:chart>
    <c:title>
      <c:tx>
        <c:rich>
          <a:bodyPr/>
          <a:lstStyle/>
          <a:p>
            <a:pPr>
              <a:defRPr/>
            </a:pPr>
            <a:r>
              <a:rPr lang="en-US"/>
              <a:t>Total savings (=Break-Even Costs)</a:t>
            </a:r>
          </a:p>
        </c:rich>
      </c:tx>
      <c:layout/>
    </c:title>
    <c:view3D>
      <c:rAngAx val="1"/>
    </c:view3D>
    <c:plotArea>
      <c:layout/>
      <c:bar3DChart>
        <c:barDir val="col"/>
        <c:grouping val="clustered"/>
        <c:ser>
          <c:idx val="0"/>
          <c:order val="0"/>
          <c:tx>
            <c:strRef>
              <c:f>Sheet1!$D$98</c:f>
              <c:strCache>
                <c:ptCount val="1"/>
                <c:pt idx="0">
                  <c:v>normal car</c:v>
                </c:pt>
              </c:strCache>
            </c:strRef>
          </c:tx>
          <c:cat>
            <c:strRef>
              <c:f>Sheet1!$E$97:$F$97</c:f>
              <c:strCache>
                <c:ptCount val="2"/>
                <c:pt idx="0">
                  <c:v>CAC </c:v>
                </c:pt>
                <c:pt idx="1">
                  <c:v>BEV</c:v>
                </c:pt>
              </c:strCache>
            </c:strRef>
          </c:cat>
          <c:val>
            <c:numRef>
              <c:f>Sheet1!$E$98:$F$98</c:f>
              <c:numCache>
                <c:formatCode>0</c:formatCode>
                <c:ptCount val="2"/>
                <c:pt idx="0">
                  <c:v>-2362.835499522669</c:v>
                </c:pt>
                <c:pt idx="1">
                  <c:v>4292.312253905422</c:v>
                </c:pt>
              </c:numCache>
            </c:numRef>
          </c:val>
        </c:ser>
        <c:ser>
          <c:idx val="1"/>
          <c:order val="1"/>
          <c:tx>
            <c:strRef>
              <c:f>Sheet1!$D$99</c:f>
              <c:strCache>
                <c:ptCount val="1"/>
                <c:pt idx="0">
                  <c:v>light car</c:v>
                </c:pt>
              </c:strCache>
            </c:strRef>
          </c:tx>
          <c:cat>
            <c:strRef>
              <c:f>Sheet1!$E$97:$F$97</c:f>
              <c:strCache>
                <c:ptCount val="2"/>
                <c:pt idx="0">
                  <c:v>CAC </c:v>
                </c:pt>
                <c:pt idx="1">
                  <c:v>BEV</c:v>
                </c:pt>
              </c:strCache>
            </c:strRef>
          </c:cat>
          <c:val>
            <c:numRef>
              <c:f>Sheet1!$E$99:$F$99</c:f>
              <c:numCache>
                <c:formatCode>0</c:formatCode>
                <c:ptCount val="2"/>
                <c:pt idx="0">
                  <c:v>-787.6118331742241</c:v>
                </c:pt>
                <c:pt idx="1">
                  <c:v>1430.770751301807</c:v>
                </c:pt>
              </c:numCache>
            </c:numRef>
          </c:val>
        </c:ser>
        <c:shape val="box"/>
        <c:axId val="546935320"/>
        <c:axId val="546952744"/>
        <c:axId val="0"/>
      </c:bar3DChart>
      <c:catAx>
        <c:axId val="546935320"/>
        <c:scaling>
          <c:orientation val="minMax"/>
        </c:scaling>
        <c:axPos val="b"/>
        <c:tickLblPos val="nextTo"/>
        <c:crossAx val="546952744"/>
        <c:crosses val="autoZero"/>
        <c:auto val="1"/>
        <c:lblAlgn val="ctr"/>
        <c:lblOffset val="100"/>
      </c:catAx>
      <c:valAx>
        <c:axId val="546952744"/>
        <c:scaling>
          <c:orientation val="minMax"/>
        </c:scaling>
        <c:axPos val="l"/>
        <c:numFmt formatCode="0" sourceLinked="1"/>
        <c:tickLblPos val="nextTo"/>
        <c:crossAx val="546935320"/>
        <c:crosses val="autoZero"/>
        <c:crossBetween val="between"/>
      </c:valAx>
    </c:plotArea>
    <c:legend>
      <c:legendPos val="r"/>
      <c:layout>
        <c:manualLayout>
          <c:xMode val="edge"/>
          <c:yMode val="edge"/>
          <c:x val="0.668129168280194"/>
          <c:y val="0.184555476020043"/>
          <c:w val="0.166624284669334"/>
          <c:h val="0.131512097351467"/>
        </c:manualLayout>
      </c:layout>
    </c:legend>
    <c:plotVisOnly val="1"/>
  </c:chart>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1"/>
  <c:lang val="en-US"/>
  <c:style val="26"/>
  <c:chart>
    <c:plotArea>
      <c:layout/>
      <c:radarChart>
        <c:radarStyle val="marker"/>
        <c:ser>
          <c:idx val="0"/>
          <c:order val="0"/>
          <c:tx>
            <c:strRef>
              <c:f>Sheet1!$B$104</c:f>
              <c:strCache>
                <c:ptCount val="1"/>
                <c:pt idx="0">
                  <c:v>Gasoline</c:v>
                </c:pt>
              </c:strCache>
            </c:strRef>
          </c:tx>
          <c:marker>
            <c:symbol val="none"/>
          </c:marker>
          <c:cat>
            <c:strRef>
              <c:f>Sheet1!$A$105:$A$108</c:f>
              <c:strCache>
                <c:ptCount val="4"/>
                <c:pt idx="0">
                  <c:v>GHG</c:v>
                </c:pt>
                <c:pt idx="1">
                  <c:v>Primary Energy</c:v>
                </c:pt>
                <c:pt idx="2">
                  <c:v>Tank volume</c:v>
                </c:pt>
                <c:pt idx="3">
                  <c:v>Fuel costs</c:v>
                </c:pt>
              </c:strCache>
            </c:strRef>
          </c:cat>
          <c:val>
            <c:numRef>
              <c:f>Sheet1!$B$105:$B$108</c:f>
              <c:numCache>
                <c:formatCode>0.00</c:formatCode>
                <c:ptCount val="4"/>
                <c:pt idx="0">
                  <c:v>4.8256</c:v>
                </c:pt>
                <c:pt idx="1">
                  <c:v>10.7033745743866</c:v>
                </c:pt>
                <c:pt idx="2" formatCode="0.0">
                  <c:v>0.0515818604760176</c:v>
                </c:pt>
                <c:pt idx="3" formatCode="0.000">
                  <c:v>11.51394982310386</c:v>
                </c:pt>
              </c:numCache>
            </c:numRef>
          </c:val>
        </c:ser>
        <c:ser>
          <c:idx val="1"/>
          <c:order val="1"/>
          <c:tx>
            <c:strRef>
              <c:f>Sheet1!$C$104</c:f>
              <c:strCache>
                <c:ptCount val="1"/>
                <c:pt idx="0">
                  <c:v>CAC</c:v>
                </c:pt>
              </c:strCache>
            </c:strRef>
          </c:tx>
          <c:marker>
            <c:symbol val="none"/>
          </c:marker>
          <c:cat>
            <c:strRef>
              <c:f>Sheet1!$A$105:$A$108</c:f>
              <c:strCache>
                <c:ptCount val="4"/>
                <c:pt idx="0">
                  <c:v>GHG</c:v>
                </c:pt>
                <c:pt idx="1">
                  <c:v>Primary Energy</c:v>
                </c:pt>
                <c:pt idx="2">
                  <c:v>Tank volume</c:v>
                </c:pt>
                <c:pt idx="3">
                  <c:v>Fuel costs</c:v>
                </c:pt>
              </c:strCache>
            </c:strRef>
          </c:cat>
          <c:val>
            <c:numRef>
              <c:f>Sheet1!$C$105:$C$108</c:f>
              <c:numCache>
                <c:formatCode>0.00</c:formatCode>
                <c:ptCount val="4"/>
                <c:pt idx="0">
                  <c:v>13.33220691226835</c:v>
                </c:pt>
                <c:pt idx="1">
                  <c:v>7.47051823794619</c:v>
                </c:pt>
                <c:pt idx="2" formatCode="0.0">
                  <c:v>11.15993586281791</c:v>
                </c:pt>
                <c:pt idx="3" formatCode="0.000">
                  <c:v>13.64984631984752</c:v>
                </c:pt>
              </c:numCache>
            </c:numRef>
          </c:val>
        </c:ser>
        <c:ser>
          <c:idx val="2"/>
          <c:order val="2"/>
          <c:tx>
            <c:strRef>
              <c:f>Sheet1!$D$104</c:f>
              <c:strCache>
                <c:ptCount val="1"/>
                <c:pt idx="0">
                  <c:v>BEV</c:v>
                </c:pt>
              </c:strCache>
            </c:strRef>
          </c:tx>
          <c:marker>
            <c:symbol val="none"/>
          </c:marker>
          <c:cat>
            <c:strRef>
              <c:f>Sheet1!$A$105:$A$108</c:f>
              <c:strCache>
                <c:ptCount val="4"/>
                <c:pt idx="0">
                  <c:v>GHG</c:v>
                </c:pt>
                <c:pt idx="1">
                  <c:v>Primary Energy</c:v>
                </c:pt>
                <c:pt idx="2">
                  <c:v>Tank volume</c:v>
                </c:pt>
                <c:pt idx="3">
                  <c:v>Fuel costs</c:v>
                </c:pt>
              </c:strCache>
            </c:strRef>
          </c:cat>
          <c:val>
            <c:numRef>
              <c:f>Sheet1!$D$105:$D$108</c:f>
              <c:numCache>
                <c:formatCode>0.00</c:formatCode>
                <c:ptCount val="4"/>
                <c:pt idx="0">
                  <c:v>5.022446916076846</c:v>
                </c:pt>
                <c:pt idx="1">
                  <c:v>3.072013533886504</c:v>
                </c:pt>
                <c:pt idx="2" formatCode="0.0">
                  <c:v>5.345293308190204</c:v>
                </c:pt>
                <c:pt idx="3" formatCode="0.000">
                  <c:v>7.633893548387098</c:v>
                </c:pt>
              </c:numCache>
            </c:numRef>
          </c:val>
        </c:ser>
        <c:axId val="546992904"/>
        <c:axId val="546995928"/>
      </c:radarChart>
      <c:catAx>
        <c:axId val="546992904"/>
        <c:scaling>
          <c:orientation val="minMax"/>
        </c:scaling>
        <c:axPos val="b"/>
        <c:majorGridlines/>
        <c:tickLblPos val="nextTo"/>
        <c:crossAx val="546995928"/>
        <c:crosses val="autoZero"/>
        <c:auto val="1"/>
        <c:lblAlgn val="ctr"/>
        <c:lblOffset val="100"/>
      </c:catAx>
      <c:valAx>
        <c:axId val="546995928"/>
        <c:scaling>
          <c:orientation val="minMax"/>
        </c:scaling>
        <c:delete val="1"/>
        <c:axPos val="l"/>
        <c:majorGridlines/>
        <c:numFmt formatCode="0.00" sourceLinked="1"/>
        <c:tickLblPos val="nextTo"/>
        <c:crossAx val="546992904"/>
        <c:crosses val="autoZero"/>
        <c:crossBetween val="between"/>
      </c:valAx>
    </c:plotArea>
    <c:legend>
      <c:legendPos val="t"/>
      <c:layout/>
    </c:legend>
    <c:plotVisOnly val="1"/>
  </c:chart>
  <c:printSettings>
    <c:headerFooter/>
    <c:pageMargins b="1.0" l="0.75" r="0.75" t="1.0"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1"/>
  <c:lang val="en-US"/>
  <c:style val="26"/>
  <c:chart>
    <c:plotArea>
      <c:layout/>
      <c:radarChart>
        <c:radarStyle val="marker"/>
        <c:ser>
          <c:idx val="0"/>
          <c:order val="0"/>
          <c:tx>
            <c:strRef>
              <c:f>Sheet1!$F$104</c:f>
              <c:strCache>
                <c:ptCount val="1"/>
                <c:pt idx="0">
                  <c:v>Expansion 1 step</c:v>
                </c:pt>
              </c:strCache>
            </c:strRef>
          </c:tx>
          <c:marker>
            <c:symbol val="none"/>
          </c:marker>
          <c:cat>
            <c:strRef>
              <c:f>Sheet1!$E$105:$E$108</c:f>
              <c:strCache>
                <c:ptCount val="4"/>
                <c:pt idx="0">
                  <c:v>GHG</c:v>
                </c:pt>
                <c:pt idx="1">
                  <c:v>Primary Energy</c:v>
                </c:pt>
                <c:pt idx="2">
                  <c:v>Tank volume</c:v>
                </c:pt>
                <c:pt idx="3">
                  <c:v>Fuel costs</c:v>
                </c:pt>
              </c:strCache>
            </c:strRef>
          </c:cat>
          <c:val>
            <c:numRef>
              <c:f>Sheet1!$F$105:$F$108</c:f>
              <c:numCache>
                <c:formatCode>0.00</c:formatCode>
                <c:ptCount val="4"/>
                <c:pt idx="0">
                  <c:v>25.87239795828609</c:v>
                </c:pt>
                <c:pt idx="1">
                  <c:v>18.82043911397201</c:v>
                </c:pt>
                <c:pt idx="2">
                  <c:v>26.76446297896881</c:v>
                </c:pt>
                <c:pt idx="3">
                  <c:v>24.82050315533183</c:v>
                </c:pt>
              </c:numCache>
            </c:numRef>
          </c:val>
        </c:ser>
        <c:ser>
          <c:idx val="1"/>
          <c:order val="1"/>
          <c:tx>
            <c:strRef>
              <c:f>Sheet1!$G$104</c:f>
              <c:strCache>
                <c:ptCount val="1"/>
                <c:pt idx="0">
                  <c:v>Expansion 2 steps</c:v>
                </c:pt>
              </c:strCache>
            </c:strRef>
          </c:tx>
          <c:marker>
            <c:symbol val="none"/>
          </c:marker>
          <c:cat>
            <c:strRef>
              <c:f>Sheet1!$E$105:$E$108</c:f>
              <c:strCache>
                <c:ptCount val="4"/>
                <c:pt idx="0">
                  <c:v>GHG</c:v>
                </c:pt>
                <c:pt idx="1">
                  <c:v>Primary Energy</c:v>
                </c:pt>
                <c:pt idx="2">
                  <c:v>Tank volume</c:v>
                </c:pt>
                <c:pt idx="3">
                  <c:v>Fuel costs</c:v>
                </c:pt>
              </c:strCache>
            </c:strRef>
          </c:cat>
          <c:val>
            <c:numRef>
              <c:f>Sheet1!$G$105:$G$108</c:f>
              <c:numCache>
                <c:formatCode>0.00</c:formatCode>
                <c:ptCount val="4"/>
                <c:pt idx="0">
                  <c:v>6.076238604953848</c:v>
                </c:pt>
                <c:pt idx="1">
                  <c:v>4.420057193418173</c:v>
                </c:pt>
                <c:pt idx="2" formatCode="0.0">
                  <c:v>6.285743727963343</c:v>
                </c:pt>
                <c:pt idx="3" formatCode="0.000">
                  <c:v>5.829196803093579</c:v>
                </c:pt>
              </c:numCache>
            </c:numRef>
          </c:val>
        </c:ser>
        <c:axId val="547022760"/>
        <c:axId val="547025752"/>
      </c:radarChart>
      <c:catAx>
        <c:axId val="547022760"/>
        <c:scaling>
          <c:orientation val="minMax"/>
        </c:scaling>
        <c:axPos val="b"/>
        <c:majorGridlines/>
        <c:tickLblPos val="nextTo"/>
        <c:crossAx val="547025752"/>
        <c:crosses val="autoZero"/>
        <c:auto val="1"/>
        <c:lblAlgn val="ctr"/>
        <c:lblOffset val="100"/>
      </c:catAx>
      <c:valAx>
        <c:axId val="547025752"/>
        <c:scaling>
          <c:orientation val="minMax"/>
        </c:scaling>
        <c:delete val="1"/>
        <c:axPos val="l"/>
        <c:majorGridlines/>
        <c:numFmt formatCode="0.00" sourceLinked="1"/>
        <c:majorTickMark val="cross"/>
        <c:tickLblPos val="nextTo"/>
        <c:crossAx val="547022760"/>
        <c:crosses val="autoZero"/>
        <c:crossBetween val="between"/>
      </c:valAx>
    </c:plotArea>
    <c:legend>
      <c:legendPos val="t"/>
      <c:layout/>
    </c:legend>
    <c:plotVisOnly val="1"/>
  </c:chart>
  <c:printSettings>
    <c:headerFooter/>
    <c:pageMargins b="1.0" l="0.75" r="0.75" t="1.0" header="0.5" footer="0.5"/>
    <c:pageSetup/>
  </c:printSettings>
</c:chartSpace>
</file>

<file path=xl/drawings/_rels/drawing2.xml.rels><?xml version="1.0" encoding="UTF-8" standalone="yes"?>
<Relationships xmlns="http://schemas.openxmlformats.org/package/2006/relationships"><Relationship Id="rId4" Type="http://schemas.openxmlformats.org/officeDocument/2006/relationships/chart" Target="../charts/chart4.xml"/><Relationship Id="rId5" Type="http://schemas.openxmlformats.org/officeDocument/2006/relationships/chart" Target="../charts/chart5.xml"/><Relationship Id="rId7" Type="http://schemas.openxmlformats.org/officeDocument/2006/relationships/chart" Target="../charts/chart7.xml"/><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6"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9</xdr:col>
      <xdr:colOff>927100</xdr:colOff>
      <xdr:row>23</xdr:row>
      <xdr:rowOff>152400</xdr:rowOff>
    </xdr:from>
    <xdr:to>
      <xdr:col>13</xdr:col>
      <xdr:colOff>927100</xdr:colOff>
      <xdr:row>30</xdr:row>
      <xdr:rowOff>152400</xdr:rowOff>
    </xdr:to>
    <xdr:sp macro="" textlink="">
      <xdr:nvSpPr>
        <xdr:cNvPr id="2" name="TextBox 1"/>
        <xdr:cNvSpPr txBox="1"/>
      </xdr:nvSpPr>
      <xdr:spPr>
        <a:xfrm>
          <a:off x="10020300" y="3949700"/>
          <a:ext cx="3810000" cy="1155700"/>
        </a:xfrm>
        <a:prstGeom prst="rect">
          <a:avLst/>
        </a:prstGeom>
        <a:solidFill>
          <a:schemeClr val="tx1">
            <a:lumMod val="65000"/>
            <a:lumOff val="3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solidFill>
                <a:schemeClr val="bg1"/>
              </a:solidFill>
            </a:rPr>
            <a:t>Standard.</a:t>
          </a:r>
        </a:p>
        <a:p>
          <a:r>
            <a:rPr lang="en-US" sz="1100">
              <a:solidFill>
                <a:schemeClr val="bg1"/>
              </a:solidFill>
            </a:rPr>
            <a:t>This</a:t>
          </a:r>
          <a:r>
            <a:rPr lang="en-US" sz="1100" baseline="0">
              <a:solidFill>
                <a:schemeClr val="bg1"/>
              </a:solidFill>
            </a:rPr>
            <a:t> is assuming that only one step (the last step) can be used for expansion work using available air motors (input pressure ca. 130psi) but storing the air at 4500 psi. You can switch to this variant by clicking on h31 and changing input value h24 to h26 (and back).</a:t>
          </a:r>
          <a:endParaRPr lang="en-US" sz="1100">
            <a:solidFill>
              <a:schemeClr val="bg1"/>
            </a:solidFill>
          </a:endParaRPr>
        </a:p>
      </xdr:txBody>
    </xdr:sp>
    <xdr:clientData/>
  </xdr:twoCellAnchor>
  <xdr:twoCellAnchor>
    <xdr:from>
      <xdr:col>7</xdr:col>
      <xdr:colOff>1041400</xdr:colOff>
      <xdr:row>67</xdr:row>
      <xdr:rowOff>0</xdr:rowOff>
    </xdr:from>
    <xdr:to>
      <xdr:col>11</xdr:col>
      <xdr:colOff>558800</xdr:colOff>
      <xdr:row>79</xdr:row>
      <xdr:rowOff>25400</xdr:rowOff>
    </xdr:to>
    <xdr:sp macro="" textlink="">
      <xdr:nvSpPr>
        <xdr:cNvPr id="4" name="TextBox 3"/>
        <xdr:cNvSpPr txBox="1"/>
      </xdr:nvSpPr>
      <xdr:spPr>
        <a:xfrm>
          <a:off x="7988300" y="11061700"/>
          <a:ext cx="3708400" cy="2006600"/>
        </a:xfrm>
        <a:prstGeom prst="rect">
          <a:avLst/>
        </a:prstGeom>
        <a:solidFill>
          <a:schemeClr val="tx1">
            <a:lumMod val="65000"/>
            <a:lumOff val="3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solidFill>
                <a:schemeClr val="bg1"/>
              </a:solidFill>
            </a:rPr>
            <a:t>Energy prices.</a:t>
          </a:r>
        </a:p>
        <a:p>
          <a:endParaRPr lang="en-US" sz="1100">
            <a:solidFill>
              <a:schemeClr val="bg1"/>
            </a:solidFill>
          </a:endParaRPr>
        </a:p>
        <a:p>
          <a:r>
            <a:rPr lang="en-US" sz="1100">
              <a:solidFill>
                <a:schemeClr val="bg1"/>
              </a:solidFill>
            </a:rPr>
            <a:t>Suggested values for the gasoline</a:t>
          </a:r>
          <a:r>
            <a:rPr lang="en-US" sz="1100" baseline="0">
              <a:solidFill>
                <a:schemeClr val="bg1"/>
              </a:solidFill>
            </a:rPr>
            <a:t> price in a73.</a:t>
          </a:r>
        </a:p>
        <a:p>
          <a:r>
            <a:rPr lang="en-US" sz="1100" baseline="0">
              <a:solidFill>
                <a:schemeClr val="bg1"/>
              </a:solidFill>
            </a:rPr>
            <a:t>USA: $2/gal as lower limit (gas price spring 2009), $4/gal upper limit</a:t>
          </a:r>
        </a:p>
        <a:p>
          <a:r>
            <a:rPr lang="en-US" sz="1100" baseline="0">
              <a:solidFill>
                <a:schemeClr val="bg1"/>
              </a:solidFill>
            </a:rPr>
            <a:t>Germany: $6.4/gal as lower limit (gas price spring 2009), $8.4/gal upperlimit</a:t>
          </a:r>
        </a:p>
        <a:p>
          <a:endParaRPr lang="en-US" sz="1100" baseline="0">
            <a:solidFill>
              <a:schemeClr val="bg1"/>
            </a:solidFill>
          </a:endParaRPr>
        </a:p>
        <a:p>
          <a:r>
            <a:rPr lang="en-US" sz="1100" baseline="0">
              <a:solidFill>
                <a:schemeClr val="bg1"/>
              </a:solidFill>
            </a:rPr>
            <a:t>Suggest values for electricity prices in a72.</a:t>
          </a:r>
        </a:p>
        <a:p>
          <a:r>
            <a:rPr lang="en-US" sz="1100" baseline="0">
              <a:solidFill>
                <a:schemeClr val="bg1"/>
              </a:solidFill>
            </a:rPr>
            <a:t>0.11 c/kwh (average price in USA 2008)</a:t>
          </a:r>
        </a:p>
        <a:p>
          <a:r>
            <a:rPr lang="en-US" sz="1100" baseline="0">
              <a:solidFill>
                <a:schemeClr val="bg1"/>
              </a:solidFill>
            </a:rPr>
            <a:t>0.27 c/kwh (average price in Germany 2008)</a:t>
          </a:r>
          <a:endParaRPr lang="en-US" sz="1100">
            <a:solidFill>
              <a:schemeClr val="bg1"/>
            </a:solidFill>
          </a:endParaRPr>
        </a:p>
      </xdr:txBody>
    </xdr:sp>
    <xdr:clientData/>
  </xdr:twoCellAnchor>
  <xdr:twoCellAnchor>
    <xdr:from>
      <xdr:col>8</xdr:col>
      <xdr:colOff>0</xdr:colOff>
      <xdr:row>101</xdr:row>
      <xdr:rowOff>152400</xdr:rowOff>
    </xdr:from>
    <xdr:to>
      <xdr:col>11</xdr:col>
      <xdr:colOff>825500</xdr:colOff>
      <xdr:row>109</xdr:row>
      <xdr:rowOff>114300</xdr:rowOff>
    </xdr:to>
    <xdr:sp macro="" textlink="">
      <xdr:nvSpPr>
        <xdr:cNvPr id="6" name="TextBox 5"/>
        <xdr:cNvSpPr txBox="1"/>
      </xdr:nvSpPr>
      <xdr:spPr>
        <a:xfrm>
          <a:off x="8051800" y="16827500"/>
          <a:ext cx="3771900" cy="1282700"/>
        </a:xfrm>
        <a:prstGeom prst="rect">
          <a:avLst/>
        </a:prstGeom>
        <a:solidFill>
          <a:schemeClr val="tx1">
            <a:lumMod val="85000"/>
            <a:lumOff val="1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solidFill>
                <a:schemeClr val="bg1"/>
              </a:solidFill>
            </a:rPr>
            <a:t>In this modul, the relative performance data (energy,</a:t>
          </a:r>
          <a:r>
            <a:rPr lang="en-US" sz="1100" baseline="0">
              <a:solidFill>
                <a:schemeClr val="bg1"/>
              </a:solidFill>
            </a:rPr>
            <a:t> volume, GHG emissions, and price) are set in relation to each other and summarized in a radar plot.</a:t>
          </a:r>
        </a:p>
        <a:p>
          <a:r>
            <a:rPr lang="en-US" sz="1100" baseline="0">
              <a:solidFill>
                <a:schemeClr val="bg1"/>
              </a:solidFill>
            </a:rPr>
            <a:t>The second radar plot compares two scenarios, one where only one expansion step is used (as probably is done in current CAC models) and one where both expansion steps are utilized to drive the car. </a:t>
          </a:r>
          <a:endParaRPr lang="en-US" sz="11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101600</xdr:colOff>
      <xdr:row>2</xdr:row>
      <xdr:rowOff>63500</xdr:rowOff>
    </xdr:from>
    <xdr:to>
      <xdr:col>7</xdr:col>
      <xdr:colOff>795866</xdr:colOff>
      <xdr:row>23</xdr:row>
      <xdr:rowOff>63500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101600</xdr:colOff>
      <xdr:row>25</xdr:row>
      <xdr:rowOff>0</xdr:rowOff>
    </xdr:from>
    <xdr:to>
      <xdr:col>8</xdr:col>
      <xdr:colOff>118534</xdr:colOff>
      <xdr:row>45</xdr:row>
      <xdr:rowOff>152400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300568</xdr:colOff>
      <xdr:row>1</xdr:row>
      <xdr:rowOff>25401</xdr:rowOff>
    </xdr:from>
    <xdr:to>
      <xdr:col>14</xdr:col>
      <xdr:colOff>114301</xdr:colOff>
      <xdr:row>22</xdr:row>
      <xdr:rowOff>1</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211667</xdr:colOff>
      <xdr:row>24</xdr:row>
      <xdr:rowOff>67733</xdr:rowOff>
    </xdr:from>
    <xdr:to>
      <xdr:col>13</xdr:col>
      <xdr:colOff>25399</xdr:colOff>
      <xdr:row>45</xdr:row>
      <xdr:rowOff>67733</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541867</xdr:colOff>
      <xdr:row>1</xdr:row>
      <xdr:rowOff>67734</xdr:rowOff>
    </xdr:from>
    <xdr:to>
      <xdr:col>19</xdr:col>
      <xdr:colOff>431799</xdr:colOff>
      <xdr:row>22</xdr:row>
      <xdr:rowOff>93134</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474134</xdr:colOff>
      <xdr:row>26</xdr:row>
      <xdr:rowOff>16933</xdr:rowOff>
    </xdr:from>
    <xdr:to>
      <xdr:col>19</xdr:col>
      <xdr:colOff>152400</xdr:colOff>
      <xdr:row>46</xdr:row>
      <xdr:rowOff>33867</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253999</xdr:colOff>
      <xdr:row>26</xdr:row>
      <xdr:rowOff>16933</xdr:rowOff>
    </xdr:from>
    <xdr:to>
      <xdr:col>24</xdr:col>
      <xdr:colOff>914400</xdr:colOff>
      <xdr:row>46</xdr:row>
      <xdr:rowOff>33866</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S108"/>
  <sheetViews>
    <sheetView tabSelected="1" workbookViewId="0">
      <selection activeCell="C3" sqref="C3"/>
    </sheetView>
  </sheetViews>
  <sheetFormatPr baseColWidth="10" defaultRowHeight="13"/>
  <cols>
    <col min="4" max="4" width="12.28515625" bestFit="1" customWidth="1"/>
    <col min="6" max="6" width="12.28515625" bestFit="1" customWidth="1"/>
    <col min="8" max="8" width="12.42578125" bestFit="1" customWidth="1"/>
    <col min="9" max="9" width="11.7109375" bestFit="1" customWidth="1"/>
    <col min="11" max="11" width="12.28515625" bestFit="1" customWidth="1"/>
  </cols>
  <sheetData>
    <row r="1" spans="1:9">
      <c r="A1" s="3" t="s">
        <v>69</v>
      </c>
      <c r="B1" s="3"/>
      <c r="C1" s="3"/>
      <c r="D1" s="3"/>
      <c r="E1" s="3"/>
    </row>
    <row r="2" spans="1:9">
      <c r="A2" t="s">
        <v>52</v>
      </c>
      <c r="C2" s="2">
        <v>38657</v>
      </c>
    </row>
    <row r="3" spans="1:9">
      <c r="A3" s="1"/>
      <c r="H3" s="64" t="s">
        <v>49</v>
      </c>
      <c r="I3" s="64"/>
    </row>
    <row r="4" spans="1:9">
      <c r="H4" s="34">
        <v>6.8947570000000002</v>
      </c>
      <c r="I4" s="4" t="s">
        <v>107</v>
      </c>
    </row>
    <row r="5" spans="1:9">
      <c r="H5" s="4">
        <v>101.325</v>
      </c>
      <c r="I5" s="4" t="s">
        <v>127</v>
      </c>
    </row>
    <row r="7" spans="1:9">
      <c r="A7" s="63" t="s">
        <v>75</v>
      </c>
      <c r="B7" s="65"/>
      <c r="C7" s="65"/>
      <c r="D7" s="65"/>
      <c r="E7" s="65"/>
      <c r="F7" s="65"/>
      <c r="G7" s="65"/>
      <c r="H7" s="66"/>
      <c r="I7" s="66"/>
    </row>
    <row r="8" spans="1:9">
      <c r="A8" s="12" t="s">
        <v>76</v>
      </c>
      <c r="B8" s="12"/>
      <c r="C8" s="12"/>
      <c r="D8" s="12" t="s">
        <v>0</v>
      </c>
      <c r="E8" s="12"/>
      <c r="F8" s="12"/>
      <c r="G8" s="13" t="s">
        <v>1</v>
      </c>
      <c r="H8" s="13"/>
      <c r="I8" s="13"/>
    </row>
    <row r="9" spans="1:9">
      <c r="A9" s="4" t="s">
        <v>71</v>
      </c>
      <c r="B9" s="4">
        <v>2</v>
      </c>
      <c r="C9" s="4"/>
      <c r="D9" s="4"/>
      <c r="E9" s="4"/>
      <c r="F9" s="4"/>
      <c r="G9" s="6"/>
      <c r="H9" s="6"/>
      <c r="I9" s="6"/>
    </row>
    <row r="10" spans="1:9">
      <c r="A10" s="4" t="s">
        <v>77</v>
      </c>
      <c r="B10" s="10">
        <v>101.325</v>
      </c>
      <c r="C10" s="4" t="s">
        <v>72</v>
      </c>
      <c r="D10" s="4" t="s">
        <v>79</v>
      </c>
      <c r="E10" s="11">
        <v>31031</v>
      </c>
      <c r="F10" s="4" t="s">
        <v>72</v>
      </c>
      <c r="G10" s="6" t="s">
        <v>17</v>
      </c>
      <c r="H10" s="7">
        <f>B10*B11*LN(E10/B10)/1000000</f>
        <v>58.002572280355331</v>
      </c>
      <c r="I10" s="6" t="s">
        <v>81</v>
      </c>
    </row>
    <row r="11" spans="1:9">
      <c r="A11" s="4" t="s">
        <v>78</v>
      </c>
      <c r="B11" s="10">
        <f>100000</f>
        <v>100000</v>
      </c>
      <c r="C11" s="4" t="s">
        <v>73</v>
      </c>
      <c r="D11" s="4" t="s">
        <v>80</v>
      </c>
      <c r="E11" s="41">
        <f>B11*B10/E10</f>
        <v>326.52831039927815</v>
      </c>
      <c r="F11" s="4" t="s">
        <v>73</v>
      </c>
      <c r="G11" s="6" t="s">
        <v>3</v>
      </c>
      <c r="H11" s="8">
        <f>B10*B11*(1/(B13-1))*((B11/E11)^(B13-1)-1)/1000000</f>
        <v>108.52261243972099</v>
      </c>
      <c r="I11" s="6" t="s">
        <v>81</v>
      </c>
    </row>
    <row r="12" spans="1:9">
      <c r="A12" s="4" t="s">
        <v>70</v>
      </c>
      <c r="B12" s="10">
        <v>293</v>
      </c>
      <c r="C12" s="4" t="s">
        <v>74</v>
      </c>
      <c r="D12" s="4"/>
      <c r="E12" s="4"/>
      <c r="F12" s="4"/>
      <c r="G12" s="6" t="s">
        <v>4</v>
      </c>
      <c r="H12" s="9">
        <f>B9*B10*B11*(1/(B13-1))*((E10/B10)^((B13-1)/(B9*B13))-1)/1000000</f>
        <v>61.938790630738552</v>
      </c>
      <c r="I12" s="6" t="s">
        <v>82</v>
      </c>
    </row>
    <row r="13" spans="1:9">
      <c r="A13" s="4" t="s">
        <v>2</v>
      </c>
      <c r="B13" s="10">
        <v>1.2</v>
      </c>
      <c r="C13" s="4"/>
      <c r="D13" s="4"/>
      <c r="E13" s="4"/>
      <c r="F13" s="4"/>
      <c r="G13" s="6"/>
      <c r="H13" s="6"/>
      <c r="I13" s="6"/>
    </row>
    <row r="15" spans="1:9">
      <c r="G15" s="13" t="s">
        <v>19</v>
      </c>
      <c r="H15" s="13"/>
      <c r="I15" s="13"/>
    </row>
    <row r="16" spans="1:9">
      <c r="G16" s="6"/>
      <c r="H16" s="15">
        <f>100*H10/H12</f>
        <v>93.64498675175976</v>
      </c>
      <c r="I16" s="6" t="s">
        <v>18</v>
      </c>
    </row>
    <row r="19" spans="1:9">
      <c r="A19" s="63" t="s">
        <v>46</v>
      </c>
      <c r="B19" s="65"/>
      <c r="C19" s="65"/>
      <c r="D19" s="65"/>
      <c r="E19" s="65"/>
      <c r="F19" s="65"/>
      <c r="G19" s="65"/>
      <c r="H19" s="66"/>
      <c r="I19" s="66"/>
    </row>
    <row r="20" spans="1:9">
      <c r="A20" s="12" t="s">
        <v>76</v>
      </c>
      <c r="B20" s="12"/>
      <c r="C20" s="12"/>
      <c r="D20" s="12" t="s">
        <v>0</v>
      </c>
      <c r="E20" s="12"/>
      <c r="F20" s="12"/>
      <c r="G20" s="13" t="s">
        <v>1</v>
      </c>
      <c r="H20" s="13"/>
      <c r="I20" s="13"/>
    </row>
    <row r="21" spans="1:9">
      <c r="A21" s="4" t="s">
        <v>71</v>
      </c>
      <c r="B21" s="4">
        <v>2</v>
      </c>
      <c r="C21" s="4"/>
      <c r="D21" s="4"/>
      <c r="E21" s="4"/>
      <c r="F21" s="4"/>
      <c r="G21" s="6"/>
      <c r="H21" s="6"/>
      <c r="I21" s="6"/>
    </row>
    <row r="22" spans="1:9">
      <c r="A22" s="4" t="s">
        <v>77</v>
      </c>
      <c r="B22" s="11">
        <v>31031</v>
      </c>
      <c r="C22" s="4" t="s">
        <v>72</v>
      </c>
      <c r="D22" s="4" t="s">
        <v>79</v>
      </c>
      <c r="E22" s="10">
        <v>101.325</v>
      </c>
      <c r="F22" s="4" t="s">
        <v>72</v>
      </c>
      <c r="G22" s="6" t="s">
        <v>17</v>
      </c>
      <c r="H22" s="7">
        <f>B22*B23*LN(E22/B22)/1000000</f>
        <v>-58.002572280355331</v>
      </c>
      <c r="I22" s="6" t="s">
        <v>81</v>
      </c>
    </row>
    <row r="23" spans="1:9">
      <c r="A23" s="4" t="s">
        <v>78</v>
      </c>
      <c r="B23" s="41">
        <f>E11</f>
        <v>326.52831039927815</v>
      </c>
      <c r="C23" s="4" t="s">
        <v>73</v>
      </c>
      <c r="D23" s="4" t="s">
        <v>80</v>
      </c>
      <c r="E23" s="10">
        <f>B11</f>
        <v>100000</v>
      </c>
      <c r="F23" s="4" t="s">
        <v>73</v>
      </c>
      <c r="G23" s="6" t="s">
        <v>100</v>
      </c>
      <c r="H23" s="8">
        <f>B22*B23*(1/(B24-1))*((B23/E23)^(B24-1)-1)/1000000</f>
        <v>-22.765437258085019</v>
      </c>
      <c r="I23" s="6" t="s">
        <v>81</v>
      </c>
    </row>
    <row r="24" spans="1:9">
      <c r="A24" s="4" t="s">
        <v>2</v>
      </c>
      <c r="B24" s="10">
        <v>1.4</v>
      </c>
      <c r="C24" s="4"/>
      <c r="D24" s="4"/>
      <c r="E24" s="4"/>
      <c r="F24" s="4"/>
      <c r="G24" s="6" t="s">
        <v>4</v>
      </c>
      <c r="H24" s="9">
        <f>B21*B22*B23*(1/(B24-1))*((E22/B22)^((B24-1)/(B21*B24))-1)/1000000</f>
        <v>-28.299377066152498</v>
      </c>
      <c r="I24" s="6" t="s">
        <v>82</v>
      </c>
    </row>
    <row r="25" spans="1:9">
      <c r="A25" s="31" t="s">
        <v>103</v>
      </c>
      <c r="B25" s="31">
        <v>900</v>
      </c>
      <c r="C25" s="31" t="s">
        <v>101</v>
      </c>
      <c r="D25" s="31"/>
      <c r="E25" s="31"/>
      <c r="F25" s="31"/>
      <c r="G25" s="29"/>
      <c r="H25" s="29"/>
      <c r="I25" s="29"/>
    </row>
    <row r="26" spans="1:9">
      <c r="A26" s="31" t="s">
        <v>102</v>
      </c>
      <c r="B26" s="32">
        <f>B23*(B22/B25)^(1/B24)</f>
        <v>4094.2388126877681</v>
      </c>
      <c r="C26" s="31" t="s">
        <v>104</v>
      </c>
      <c r="D26" s="31"/>
      <c r="E26" s="31"/>
      <c r="F26" s="31"/>
      <c r="G26" s="29" t="s">
        <v>106</v>
      </c>
      <c r="H26" s="33">
        <f>B25*B26*(1/(B24-1))*((B26/E23)^(B24-1)-1)/1000000</f>
        <v>-6.6462245866324965</v>
      </c>
      <c r="I26" s="29" t="s">
        <v>105</v>
      </c>
    </row>
    <row r="28" spans="1:9">
      <c r="A28" s="63" t="s">
        <v>5</v>
      </c>
      <c r="B28" s="65"/>
      <c r="C28" s="65"/>
      <c r="D28" s="65"/>
      <c r="E28" s="65"/>
      <c r="F28" s="65"/>
      <c r="G28" s="65"/>
      <c r="H28" s="66"/>
      <c r="I28" s="66"/>
    </row>
    <row r="30" spans="1:9">
      <c r="A30" s="12" t="s">
        <v>87</v>
      </c>
      <c r="B30" s="12"/>
      <c r="C30" s="4"/>
      <c r="D30" s="4"/>
      <c r="G30" s="13" t="s">
        <v>83</v>
      </c>
      <c r="H30" s="13"/>
      <c r="I30" s="13"/>
    </row>
    <row r="31" spans="1:9">
      <c r="A31" s="4" t="s">
        <v>85</v>
      </c>
      <c r="B31" s="4"/>
      <c r="C31" s="4">
        <v>90</v>
      </c>
      <c r="D31" s="4" t="s">
        <v>18</v>
      </c>
      <c r="G31" s="6"/>
      <c r="H31" s="15">
        <f>100*H24/H22</f>
        <v>48.789865610386222</v>
      </c>
      <c r="I31" s="6" t="s">
        <v>18</v>
      </c>
    </row>
    <row r="32" spans="1:9">
      <c r="A32" s="4" t="s">
        <v>86</v>
      </c>
      <c r="B32" s="4"/>
      <c r="C32" s="4">
        <v>71</v>
      </c>
      <c r="D32" s="4" t="s">
        <v>18</v>
      </c>
      <c r="G32" s="13" t="s">
        <v>84</v>
      </c>
      <c r="H32" s="13"/>
      <c r="I32" s="13"/>
    </row>
    <row r="33" spans="1:14">
      <c r="G33" s="6"/>
      <c r="H33" s="16">
        <f>H16/100*H31/100*C31/100*C32</f>
        <v>29.195439176523401</v>
      </c>
      <c r="I33" s="6" t="s">
        <v>18</v>
      </c>
      <c r="K33" s="40" t="s">
        <v>61</v>
      </c>
      <c r="L33" s="35"/>
      <c r="M33" s="35"/>
      <c r="N33" s="35"/>
    </row>
    <row r="34" spans="1:14">
      <c r="K34" s="39" t="s">
        <v>59</v>
      </c>
      <c r="L34" s="39" t="s">
        <v>60</v>
      </c>
      <c r="M34" s="36"/>
      <c r="N34" s="36"/>
    </row>
    <row r="35" spans="1:14">
      <c r="A35" s="67" t="s">
        <v>154</v>
      </c>
      <c r="B35" s="67"/>
      <c r="C35" s="67"/>
      <c r="D35" s="67"/>
      <c r="E35" s="5"/>
      <c r="F35" s="44" t="s">
        <v>11</v>
      </c>
      <c r="G35" s="5"/>
      <c r="H35" s="64" t="s">
        <v>49</v>
      </c>
      <c r="I35" s="64"/>
      <c r="K35" s="36"/>
      <c r="L35" s="36" t="s">
        <v>53</v>
      </c>
      <c r="M35" s="36" t="s">
        <v>54</v>
      </c>
      <c r="N35" s="36" t="s">
        <v>56</v>
      </c>
    </row>
    <row r="36" spans="1:14">
      <c r="A36" s="5">
        <v>900</v>
      </c>
      <c r="B36" s="5" t="s">
        <v>89</v>
      </c>
      <c r="C36" s="5" t="s">
        <v>90</v>
      </c>
      <c r="D36" s="5"/>
      <c r="E36" s="5"/>
      <c r="F36" s="5">
        <v>9.5</v>
      </c>
      <c r="G36" s="5" t="s">
        <v>10</v>
      </c>
      <c r="H36" s="4">
        <v>1.609</v>
      </c>
      <c r="I36" s="4" t="s">
        <v>50</v>
      </c>
      <c r="K36" s="36">
        <v>900</v>
      </c>
      <c r="L36" s="37">
        <f t="shared" ref="L36:N37" si="0">$K36*L$38/(L$39-L$40*L$38)</f>
        <v>4.7509608333174098</v>
      </c>
      <c r="M36" s="37">
        <f t="shared" si="0"/>
        <v>53.02729166095007</v>
      </c>
      <c r="N36" s="37">
        <f>$K36*N$38/(N$39-N$40*N$38)</f>
        <v>140.31394933999289</v>
      </c>
    </row>
    <row r="37" spans="1:14">
      <c r="A37" s="5">
        <v>5.2</v>
      </c>
      <c r="B37" s="5" t="s">
        <v>91</v>
      </c>
      <c r="C37" s="5" t="s">
        <v>20</v>
      </c>
      <c r="D37" s="5"/>
      <c r="E37" s="5"/>
      <c r="F37" s="5"/>
      <c r="G37" s="5"/>
      <c r="H37" s="4">
        <v>34.200000000000003</v>
      </c>
      <c r="I37" s="4" t="s">
        <v>153</v>
      </c>
      <c r="K37" s="36">
        <v>300</v>
      </c>
      <c r="L37" s="37">
        <f t="shared" si="0"/>
        <v>1.5836536111058033</v>
      </c>
      <c r="M37" s="37">
        <f t="shared" si="0"/>
        <v>17.675763886983358</v>
      </c>
      <c r="N37" s="37">
        <f t="shared" si="0"/>
        <v>46.771316446664294</v>
      </c>
    </row>
    <row r="38" spans="1:14">
      <c r="A38" s="22">
        <f>14/1.15/0.86</f>
        <v>14.155712841253793</v>
      </c>
      <c r="B38" s="5" t="s">
        <v>32</v>
      </c>
      <c r="C38" s="5" t="s">
        <v>108</v>
      </c>
      <c r="D38" s="5"/>
      <c r="E38" s="5"/>
      <c r="F38" s="5"/>
      <c r="G38" s="5"/>
      <c r="H38" s="4">
        <v>3.7854000000000001</v>
      </c>
      <c r="I38" s="4" t="s">
        <v>51</v>
      </c>
      <c r="K38" s="36" t="s">
        <v>158</v>
      </c>
      <c r="L38" s="47">
        <f>$L$41*$A$41/0.203</f>
        <v>0.23679802955665025</v>
      </c>
      <c r="M38" s="47">
        <f>$L$41*$A$41/0.436</f>
        <v>0.11025229357798165</v>
      </c>
      <c r="N38" s="47">
        <f>$L$41*$A$41/0.9</f>
        <v>5.3411111111111111E-2</v>
      </c>
    </row>
    <row r="39" spans="1:14">
      <c r="A39" s="23"/>
      <c r="B39" s="5"/>
      <c r="C39" s="5" t="s">
        <v>115</v>
      </c>
      <c r="D39" s="5"/>
      <c r="E39" s="5"/>
      <c r="F39" s="5"/>
      <c r="G39" s="5"/>
      <c r="H39" s="20">
        <f>1/3.6</f>
        <v>0.27777777777777779</v>
      </c>
      <c r="I39" s="4" t="s">
        <v>148</v>
      </c>
      <c r="K39" s="36" t="s">
        <v>57</v>
      </c>
      <c r="L39" s="36">
        <f>H37/0.76</f>
        <v>45</v>
      </c>
      <c r="M39" s="38">
        <f>E23*0.0012/H12</f>
        <v>1.937396561637857</v>
      </c>
      <c r="N39" s="36">
        <f>0.11/H39</f>
        <v>0.39599999999999996</v>
      </c>
    </row>
    <row r="40" spans="1:14">
      <c r="A40" s="68" t="s">
        <v>152</v>
      </c>
      <c r="B40" s="69"/>
      <c r="C40" s="4"/>
      <c r="D40" s="4"/>
      <c r="E40" s="4" t="s">
        <v>45</v>
      </c>
      <c r="F40" s="4" t="s">
        <v>88</v>
      </c>
      <c r="G40" s="4" t="s">
        <v>55</v>
      </c>
      <c r="K40" s="36" t="s">
        <v>58</v>
      </c>
      <c r="L40" s="36">
        <v>0.6</v>
      </c>
      <c r="M40" s="36">
        <v>0.6</v>
      </c>
      <c r="N40" s="36">
        <v>1</v>
      </c>
    </row>
    <row r="41" spans="1:14">
      <c r="A41" s="6">
        <f>0.000418</f>
        <v>4.1800000000000002E-4</v>
      </c>
      <c r="B41" s="6" t="s">
        <v>151</v>
      </c>
      <c r="C41" s="4" t="s">
        <v>146</v>
      </c>
      <c r="D41" s="4" t="s">
        <v>147</v>
      </c>
      <c r="E41" s="19">
        <v>21.2</v>
      </c>
      <c r="F41" s="17">
        <f>H33</f>
        <v>29.195439176523401</v>
      </c>
      <c r="G41" s="21">
        <f>77.5</f>
        <v>77.5</v>
      </c>
      <c r="H41" s="56" t="s">
        <v>120</v>
      </c>
      <c r="I41" s="56"/>
      <c r="K41" s="36" t="s">
        <v>62</v>
      </c>
      <c r="L41" s="36">
        <v>115</v>
      </c>
      <c r="M41" s="36"/>
      <c r="N41" s="36"/>
    </row>
    <row r="42" spans="1:14">
      <c r="C42" s="4" t="s">
        <v>12</v>
      </c>
      <c r="D42" s="4" t="s">
        <v>13</v>
      </c>
      <c r="E42" s="21">
        <f>E41*5/6</f>
        <v>17.666666666666668</v>
      </c>
      <c r="F42" s="45">
        <f>F41*(100)/(100+$F$36)</f>
        <v>26.662501531071598</v>
      </c>
      <c r="G42" s="45">
        <f>G41*(100)/(100+$F$36)</f>
        <v>70.776255707762559</v>
      </c>
      <c r="H42" s="56">
        <v>0.4</v>
      </c>
      <c r="I42" s="56"/>
    </row>
    <row r="44" spans="1:14">
      <c r="A44" s="63" t="s">
        <v>48</v>
      </c>
      <c r="B44" s="63"/>
      <c r="C44" s="63"/>
      <c r="D44" s="63"/>
      <c r="E44" s="63"/>
      <c r="F44" s="63"/>
      <c r="G44" s="63"/>
      <c r="H44" s="54"/>
      <c r="I44" s="54"/>
      <c r="J44" s="63" t="s">
        <v>6</v>
      </c>
      <c r="K44" s="63"/>
    </row>
    <row r="45" spans="1:14">
      <c r="A45" s="12" t="s">
        <v>149</v>
      </c>
      <c r="B45" s="4"/>
      <c r="C45" s="6"/>
      <c r="D45" s="6"/>
      <c r="E45" s="6" t="s">
        <v>45</v>
      </c>
      <c r="F45" s="6" t="s">
        <v>116</v>
      </c>
      <c r="G45" s="6" t="s">
        <v>117</v>
      </c>
      <c r="H45" s="6" t="s">
        <v>118</v>
      </c>
      <c r="I45" s="6" t="s">
        <v>119</v>
      </c>
      <c r="J45" s="6" t="s">
        <v>7</v>
      </c>
      <c r="K45" s="6" t="s">
        <v>63</v>
      </c>
    </row>
    <row r="46" spans="1:14">
      <c r="A46" s="4">
        <f>K36</f>
        <v>900</v>
      </c>
      <c r="B46" s="4" t="s">
        <v>47</v>
      </c>
      <c r="C46" s="6" t="s">
        <v>143</v>
      </c>
      <c r="D46" s="6" t="s">
        <v>140</v>
      </c>
      <c r="E46" s="18">
        <f>$A$41*($A46+L36)*100/E$42</f>
        <v>2.1406749148773208</v>
      </c>
      <c r="F46" s="18">
        <f t="shared" ref="F46" si="1">$A$41*($A46+M36)*100/F$42</f>
        <v>1.494103647589238</v>
      </c>
      <c r="G46" s="18">
        <f>$A$41*($A46+N36)*100/G$42</f>
        <v>0.6144027067773008</v>
      </c>
      <c r="H46" s="55">
        <f>F46/$H$42</f>
        <v>3.7352591189730946</v>
      </c>
      <c r="I46" s="55">
        <f>G46/0.4</f>
        <v>1.536006766943252</v>
      </c>
      <c r="J46" s="30">
        <f>F46/E46</f>
        <v>0.69795915167009981</v>
      </c>
      <c r="K46" s="30">
        <f>G46/F46</f>
        <v>0.41121826304932069</v>
      </c>
    </row>
    <row r="47" spans="1:14">
      <c r="A47" s="4">
        <f>K37</f>
        <v>300</v>
      </c>
      <c r="B47" s="4" t="s">
        <v>47</v>
      </c>
      <c r="C47" s="6" t="s">
        <v>143</v>
      </c>
      <c r="D47" s="6" t="s">
        <v>142</v>
      </c>
      <c r="E47" s="18">
        <f>$A$41*($A47+L37)*100/E$42</f>
        <v>0.71355830495910699</v>
      </c>
      <c r="F47" s="18">
        <f t="shared" ref="F47" si="2">$A$41*($A47+M37)*100/F$42</f>
        <v>0.4980345491964126</v>
      </c>
      <c r="G47" s="18">
        <f t="shared" ref="G47" si="3">$A$41*($A47+N37)*100/G$42</f>
        <v>0.20480090225910025</v>
      </c>
      <c r="H47" s="55">
        <f>F47/0.4</f>
        <v>1.2450863729910315</v>
      </c>
      <c r="I47" s="55">
        <f>G47/0.4</f>
        <v>0.51200225564775059</v>
      </c>
      <c r="J47" s="30">
        <f>F47/E47</f>
        <v>0.6979591516700997</v>
      </c>
      <c r="K47" s="30">
        <f>G47/F47</f>
        <v>0.41121826304932069</v>
      </c>
    </row>
    <row r="50" spans="1:11">
      <c r="A50" s="25" t="s">
        <v>114</v>
      </c>
      <c r="B50" s="25"/>
      <c r="C50" s="5"/>
      <c r="D50" s="5"/>
    </row>
    <row r="51" spans="1:11">
      <c r="A51" s="5" t="s">
        <v>156</v>
      </c>
      <c r="B51" s="53">
        <f>2.32</f>
        <v>2.3199999999999998</v>
      </c>
      <c r="C51" s="5" t="s">
        <v>31</v>
      </c>
      <c r="D51" s="5"/>
    </row>
    <row r="52" spans="1:11">
      <c r="A52" s="5" t="s">
        <v>110</v>
      </c>
      <c r="B52" s="53">
        <v>887</v>
      </c>
      <c r="C52" s="5" t="s">
        <v>113</v>
      </c>
      <c r="D52" s="5"/>
    </row>
    <row r="53" spans="1:11">
      <c r="A53" s="5" t="s">
        <v>109</v>
      </c>
      <c r="B53" s="53">
        <f>238</f>
        <v>238</v>
      </c>
      <c r="C53" s="5" t="s">
        <v>112</v>
      </c>
      <c r="D53" s="5"/>
    </row>
    <row r="54" spans="1:11">
      <c r="A54" s="5" t="s">
        <v>111</v>
      </c>
      <c r="B54" s="53">
        <v>17.3</v>
      </c>
      <c r="C54" s="5" t="s">
        <v>112</v>
      </c>
      <c r="D54" s="5"/>
    </row>
    <row r="55" spans="1:11">
      <c r="A55" s="5"/>
      <c r="B55" s="24"/>
      <c r="C55" s="5"/>
      <c r="D55" s="5"/>
    </row>
    <row r="56" spans="1:11">
      <c r="A56" s="5"/>
      <c r="B56" s="24"/>
      <c r="C56" s="5"/>
      <c r="D56" s="5"/>
      <c r="E56" s="42"/>
      <c r="F56" s="42"/>
      <c r="G56" s="42"/>
    </row>
    <row r="59" spans="1:11">
      <c r="A59" s="63" t="s">
        <v>155</v>
      </c>
      <c r="B59" s="63"/>
      <c r="C59" s="63"/>
      <c r="D59" s="63"/>
      <c r="E59" s="63"/>
      <c r="F59" s="63"/>
      <c r="G59" s="63"/>
      <c r="H59" s="48"/>
      <c r="I59" s="48"/>
      <c r="J59" s="54"/>
      <c r="K59" s="54"/>
    </row>
    <row r="60" spans="1:11">
      <c r="A60" s="12" t="s">
        <v>149</v>
      </c>
      <c r="B60" s="4"/>
      <c r="C60" s="6"/>
      <c r="D60" s="6"/>
      <c r="E60" s="6" t="s">
        <v>14</v>
      </c>
      <c r="F60" s="6" t="s">
        <v>121</v>
      </c>
      <c r="G60" s="6" t="s">
        <v>122</v>
      </c>
      <c r="H60" s="6" t="s">
        <v>123</v>
      </c>
      <c r="I60" s="6" t="s">
        <v>124</v>
      </c>
      <c r="J60" s="6" t="s">
        <v>125</v>
      </c>
      <c r="K60" s="6" t="s">
        <v>126</v>
      </c>
    </row>
    <row r="61" spans="1:11">
      <c r="A61" s="4">
        <f>A46</f>
        <v>900</v>
      </c>
      <c r="B61" s="4" t="s">
        <v>47</v>
      </c>
      <c r="C61" s="6" t="s">
        <v>150</v>
      </c>
      <c r="D61" s="6" t="s">
        <v>140</v>
      </c>
      <c r="E61" s="18">
        <f>A37*2.32*10</f>
        <v>120.64</v>
      </c>
      <c r="F61" s="18">
        <f>G61*G42/F42</f>
        <v>333.30517280670887</v>
      </c>
      <c r="G61" s="18">
        <f>$A$38*$B$52/100</f>
        <v>125.56117290192114</v>
      </c>
      <c r="H61" s="57">
        <f>I61*G42/F42</f>
        <v>6.5007660536145018</v>
      </c>
      <c r="I61" s="57">
        <f>$A$38*$B$54/100</f>
        <v>2.448938321536906</v>
      </c>
      <c r="J61" s="58">
        <f>K61*G42/F42</f>
        <v>89.432504090187933</v>
      </c>
      <c r="K61" s="57">
        <f>$A$38*$B53/100</f>
        <v>33.690596562184027</v>
      </c>
    </row>
    <row r="62" spans="1:11">
      <c r="A62" s="4">
        <f>A47</f>
        <v>300</v>
      </c>
      <c r="B62" s="4" t="s">
        <v>47</v>
      </c>
      <c r="C62" s="6" t="s">
        <v>150</v>
      </c>
      <c r="D62" s="6" t="s">
        <v>142</v>
      </c>
      <c r="E62" s="18">
        <f>E61*$A62/$A$61</f>
        <v>40.213333333333331</v>
      </c>
      <c r="F62" s="18">
        <f t="shared" ref="F62:G62" si="4">F61*$A62/$A$61</f>
        <v>111.10172426890296</v>
      </c>
      <c r="G62" s="18">
        <f t="shared" si="4"/>
        <v>41.85372430064038</v>
      </c>
      <c r="H62" s="58">
        <f>H61*A62/A61</f>
        <v>2.1669220178715003</v>
      </c>
      <c r="I62" s="58">
        <f>I61*A62/A61</f>
        <v>0.81631277384563528</v>
      </c>
      <c r="J62" s="58">
        <f>J61*A62/A61</f>
        <v>29.810834696729309</v>
      </c>
      <c r="K62" s="58">
        <f>K61*A62/A61</f>
        <v>11.230198854061342</v>
      </c>
    </row>
    <row r="65" spans="1:7">
      <c r="A65" s="63" t="s">
        <v>64</v>
      </c>
      <c r="B65" s="63"/>
      <c r="C65" s="63"/>
      <c r="D65" s="63"/>
      <c r="E65" s="63"/>
      <c r="F65" s="63"/>
      <c r="G65" s="63"/>
    </row>
    <row r="66" spans="1:7">
      <c r="A66" s="12" t="s">
        <v>149</v>
      </c>
      <c r="B66" s="4"/>
      <c r="C66" s="6"/>
      <c r="D66" s="6"/>
      <c r="E66" s="6" t="s">
        <v>157</v>
      </c>
      <c r="F66" s="6" t="s">
        <v>88</v>
      </c>
      <c r="G66" s="6" t="s">
        <v>55</v>
      </c>
    </row>
    <row r="67" spans="1:7">
      <c r="A67" s="4">
        <f>A46</f>
        <v>900</v>
      </c>
      <c r="B67" s="4" t="s">
        <v>47</v>
      </c>
      <c r="C67" s="6" t="s">
        <v>65</v>
      </c>
      <c r="D67" s="6" t="s">
        <v>140</v>
      </c>
      <c r="E67" s="46">
        <f>L36*0.76</f>
        <v>3.6107302333212314</v>
      </c>
      <c r="F67" s="26">
        <f>$E$11*$A$41*(100/F$41)*$L$41*$A67/$H$12</f>
        <v>781.19551039725332</v>
      </c>
      <c r="G67" s="26">
        <f>1/0.375*N36</f>
        <v>374.17053157331435</v>
      </c>
    </row>
    <row r="68" spans="1:7">
      <c r="A68" s="4">
        <f>A47</f>
        <v>300</v>
      </c>
      <c r="B68" s="4" t="s">
        <v>47</v>
      </c>
      <c r="C68" s="6" t="s">
        <v>65</v>
      </c>
      <c r="D68" s="6" t="s">
        <v>142</v>
      </c>
      <c r="E68" s="46">
        <f>L37*0.76</f>
        <v>1.2035767444404104</v>
      </c>
      <c r="F68" s="26">
        <f>$E$11*$A$41*(100/F$41)*$L$41*$A68/$H$12</f>
        <v>260.39850346575105</v>
      </c>
      <c r="G68" s="46">
        <f>1/0.375*N37</f>
        <v>124.72351052443811</v>
      </c>
    </row>
    <row r="71" spans="1:7">
      <c r="A71" s="72" t="s">
        <v>9</v>
      </c>
      <c r="B71" s="65"/>
      <c r="C71" s="65"/>
      <c r="D71" s="65"/>
      <c r="E71" s="65"/>
      <c r="F71" s="65"/>
      <c r="G71" s="65"/>
    </row>
    <row r="72" spans="1:7">
      <c r="A72" s="12" t="s">
        <v>159</v>
      </c>
      <c r="B72" s="4"/>
      <c r="C72" s="12" t="s">
        <v>68</v>
      </c>
      <c r="D72" s="4"/>
      <c r="E72" s="43" t="s">
        <v>25</v>
      </c>
      <c r="F72" s="4"/>
      <c r="G72" s="61" t="s">
        <v>24</v>
      </c>
    </row>
    <row r="73" spans="1:7">
      <c r="A73" s="4">
        <v>8.4</v>
      </c>
      <c r="B73" s="4" t="s">
        <v>16</v>
      </c>
      <c r="C73" s="4">
        <v>0.27</v>
      </c>
      <c r="D73" s="4" t="s">
        <v>22</v>
      </c>
      <c r="E73" s="60">
        <f>G73*100/$A$38-0.05</f>
        <v>0.29615000000000002</v>
      </c>
      <c r="F73" s="4" t="s">
        <v>21</v>
      </c>
      <c r="G73" s="4">
        <f>0.049</f>
        <v>4.9000000000000002E-2</v>
      </c>
    </row>
    <row r="74" spans="1:7">
      <c r="A74" s="60">
        <f>C73+E73</f>
        <v>0.56615000000000004</v>
      </c>
      <c r="B74" s="4" t="s">
        <v>28</v>
      </c>
      <c r="C74" s="4">
        <v>0.128</v>
      </c>
      <c r="D74" s="4" t="s">
        <v>23</v>
      </c>
      <c r="E74" s="60">
        <f>G74*100/$A$38</f>
        <v>4.5917857142857142E-2</v>
      </c>
      <c r="F74" s="4" t="s">
        <v>26</v>
      </c>
      <c r="G74" s="59">
        <f>0.0065</f>
        <v>6.4999999999999997E-3</v>
      </c>
    </row>
    <row r="75" spans="1:7">
      <c r="A75" s="62">
        <f>C73+E73*0.376</f>
        <v>0.38135240000000004</v>
      </c>
      <c r="B75" s="4" t="s">
        <v>27</v>
      </c>
      <c r="C75" s="4"/>
      <c r="D75" s="4"/>
      <c r="E75" s="4"/>
      <c r="F75" s="4"/>
      <c r="G75" s="4"/>
    </row>
    <row r="76" spans="1:7">
      <c r="A76" s="12" t="s">
        <v>129</v>
      </c>
      <c r="B76" s="12"/>
      <c r="C76" s="4"/>
      <c r="D76" s="12" t="s">
        <v>138</v>
      </c>
      <c r="E76" s="12"/>
      <c r="F76" s="12" t="s">
        <v>137</v>
      </c>
      <c r="G76" s="4"/>
    </row>
    <row r="77" spans="1:7">
      <c r="A77" s="4">
        <v>17700</v>
      </c>
      <c r="B77" s="4" t="s">
        <v>128</v>
      </c>
      <c r="C77" s="4"/>
      <c r="D77" s="4">
        <f>A73/H38/H37*100/E41*A41</f>
        <v>1.2793277581226513E-4</v>
      </c>
      <c r="E77" s="4" t="s">
        <v>136</v>
      </c>
      <c r="F77" s="4">
        <f>A41*H39*A74</f>
        <v>6.5736305555555557E-5</v>
      </c>
      <c r="G77" s="4" t="s">
        <v>29</v>
      </c>
    </row>
    <row r="78" spans="1:7">
      <c r="A78" s="4"/>
      <c r="B78" s="4"/>
      <c r="C78" s="4"/>
      <c r="D78" s="4"/>
      <c r="E78" s="4"/>
      <c r="F78" s="4">
        <f>A41*H39*A75</f>
        <v>4.4279250888888895E-5</v>
      </c>
      <c r="G78" s="4" t="s">
        <v>30</v>
      </c>
    </row>
    <row r="79" spans="1:7">
      <c r="C79" s="42"/>
      <c r="D79" s="42"/>
      <c r="E79" s="42"/>
      <c r="F79" s="42"/>
      <c r="G79" s="42"/>
    </row>
    <row r="80" spans="1:7">
      <c r="C80" s="71"/>
      <c r="D80" s="71"/>
      <c r="E80" s="71"/>
      <c r="F80" s="42"/>
      <c r="G80" s="42"/>
    </row>
    <row r="82" spans="1:19">
      <c r="A82" s="63" t="s">
        <v>133</v>
      </c>
      <c r="B82" s="63"/>
      <c r="C82" s="63"/>
      <c r="D82" s="63"/>
      <c r="E82" s="63"/>
      <c r="F82" s="63"/>
      <c r="G82" s="63"/>
      <c r="I82" s="70" t="s">
        <v>42</v>
      </c>
      <c r="J82" s="70"/>
      <c r="K82" s="70"/>
      <c r="L82" s="70"/>
      <c r="M82" s="70"/>
      <c r="N82" s="52" t="s">
        <v>43</v>
      </c>
      <c r="O82" s="52"/>
      <c r="P82" s="52"/>
      <c r="Q82" s="52" t="s">
        <v>44</v>
      </c>
      <c r="R82" s="52"/>
    </row>
    <row r="83" spans="1:19">
      <c r="A83" s="12" t="s">
        <v>149</v>
      </c>
      <c r="B83" s="4"/>
      <c r="C83" s="6"/>
      <c r="D83" s="6"/>
      <c r="E83" s="6" t="s">
        <v>14</v>
      </c>
      <c r="F83" s="6" t="s">
        <v>88</v>
      </c>
      <c r="G83" s="6" t="s">
        <v>55</v>
      </c>
      <c r="I83" s="4" t="s">
        <v>36</v>
      </c>
      <c r="J83" s="4" t="s">
        <v>37</v>
      </c>
      <c r="K83" s="6" t="s">
        <v>38</v>
      </c>
      <c r="L83" s="6" t="s">
        <v>92</v>
      </c>
      <c r="M83" s="6" t="s">
        <v>39</v>
      </c>
      <c r="N83" s="6" t="s">
        <v>38</v>
      </c>
      <c r="O83" s="6" t="s">
        <v>94</v>
      </c>
      <c r="P83" s="6" t="s">
        <v>95</v>
      </c>
      <c r="Q83" s="6" t="s">
        <v>40</v>
      </c>
      <c r="R83" s="6" t="s">
        <v>41</v>
      </c>
      <c r="S83" s="42"/>
    </row>
    <row r="84" spans="1:19">
      <c r="A84" s="4">
        <f>A46</f>
        <v>900</v>
      </c>
      <c r="B84" s="4" t="s">
        <v>47</v>
      </c>
      <c r="C84" s="6" t="s">
        <v>131</v>
      </c>
      <c r="D84" s="6" t="s">
        <v>134</v>
      </c>
      <c r="E84" s="14">
        <f>$D$77*A84</f>
        <v>0.11513949823103863</v>
      </c>
      <c r="F84" s="30" t="s">
        <v>67</v>
      </c>
      <c r="G84" s="30" t="s">
        <v>67</v>
      </c>
      <c r="I84" s="4">
        <v>2</v>
      </c>
      <c r="J84" s="4">
        <v>900</v>
      </c>
      <c r="K84" s="50">
        <f>$D$77*I84*J84/$A$73</f>
        <v>2.7414166245485386E-2</v>
      </c>
      <c r="L84" s="50">
        <f>$F$77*$J84*100/F$41</f>
        <v>0.20264355210513094</v>
      </c>
      <c r="M84" s="50">
        <f>$F$77*$J84*100/G$41</f>
        <v>7.6338935483870982E-2</v>
      </c>
      <c r="N84" s="51">
        <f>$A$77*K84</f>
        <v>485.23074254509135</v>
      </c>
      <c r="O84" s="51">
        <f t="shared" ref="O84:P84" si="5">$A$77*L84</f>
        <v>3586.7908722608177</v>
      </c>
      <c r="P84" s="51">
        <f t="shared" si="5"/>
        <v>1351.1991580645163</v>
      </c>
      <c r="Q84" s="51">
        <f>($N84-O84)/(0.16)</f>
        <v>-19384.75081072329</v>
      </c>
      <c r="R84" s="51">
        <f>($N84-P84)/(0.16)</f>
        <v>-5412.3025969964065</v>
      </c>
    </row>
    <row r="85" spans="1:19">
      <c r="A85" s="4">
        <f>A47</f>
        <v>300</v>
      </c>
      <c r="B85" s="4" t="s">
        <v>47</v>
      </c>
      <c r="C85" s="6" t="s">
        <v>132</v>
      </c>
      <c r="D85" s="6" t="s">
        <v>134</v>
      </c>
      <c r="E85" s="14">
        <f>$D$77*A85</f>
        <v>3.8379832743679537E-2</v>
      </c>
      <c r="F85" s="30" t="s">
        <v>67</v>
      </c>
      <c r="G85" s="30" t="s">
        <v>67</v>
      </c>
      <c r="I85" s="4">
        <v>2</v>
      </c>
      <c r="J85" s="4">
        <v>300</v>
      </c>
      <c r="K85" s="50">
        <f t="shared" ref="K85:K93" si="6">$D$77*I85*J85/$A$73</f>
        <v>9.1380554151617947E-3</v>
      </c>
      <c r="L85" s="50">
        <f t="shared" ref="L85:M93" si="7">$F$77*$J85*100/F$41</f>
        <v>6.7547850701710307E-2</v>
      </c>
      <c r="M85" s="50">
        <f t="shared" si="7"/>
        <v>2.544631182795699E-2</v>
      </c>
      <c r="N85" s="51">
        <f t="shared" ref="N85:N93" si="8">$A$77*K85</f>
        <v>161.74358084836376</v>
      </c>
      <c r="O85" s="51">
        <f t="shared" ref="O85:O93" si="9">$A$77*L85</f>
        <v>1195.5969574202725</v>
      </c>
      <c r="P85" s="51">
        <f t="shared" ref="P85:P93" si="10">$A$77*M85</f>
        <v>450.39971935483874</v>
      </c>
      <c r="Q85" s="51">
        <f t="shared" ref="Q85:R93" si="11">($N85-O85)/(0.16)</f>
        <v>-6461.5836035744296</v>
      </c>
      <c r="R85" s="51">
        <f t="shared" si="11"/>
        <v>-1804.1008656654685</v>
      </c>
    </row>
    <row r="86" spans="1:19">
      <c r="A86" s="4">
        <f>A46</f>
        <v>900</v>
      </c>
      <c r="B86" s="4" t="s">
        <v>47</v>
      </c>
      <c r="C86" s="6" t="s">
        <v>135</v>
      </c>
      <c r="D86" s="6" t="s">
        <v>134</v>
      </c>
      <c r="E86" s="6" t="s">
        <v>15</v>
      </c>
      <c r="F86" s="27">
        <f>$F$78*$A86*100/F$41</f>
        <v>0.1364984631984752</v>
      </c>
      <c r="G86" s="30">
        <f>$F$77*$A86*100/G$41</f>
        <v>7.6338935483870982E-2</v>
      </c>
      <c r="I86" s="4">
        <v>3</v>
      </c>
      <c r="J86" s="4">
        <v>900</v>
      </c>
      <c r="K86" s="50">
        <f t="shared" si="6"/>
        <v>4.1121249368228079E-2</v>
      </c>
      <c r="L86" s="50">
        <f t="shared" si="7"/>
        <v>0.20264355210513094</v>
      </c>
      <c r="M86" s="50">
        <f t="shared" si="7"/>
        <v>7.6338935483870982E-2</v>
      </c>
      <c r="N86" s="51">
        <f t="shared" si="8"/>
        <v>727.84611381763705</v>
      </c>
      <c r="O86" s="51">
        <f t="shared" si="9"/>
        <v>3586.7908722608177</v>
      </c>
      <c r="P86" s="51">
        <f t="shared" si="10"/>
        <v>1351.1991580645163</v>
      </c>
      <c r="Q86" s="51">
        <f t="shared" si="11"/>
        <v>-17868.404740269878</v>
      </c>
      <c r="R86" s="51">
        <f t="shared" si="11"/>
        <v>-3895.9565265429951</v>
      </c>
    </row>
    <row r="87" spans="1:19">
      <c r="A87" s="4">
        <f>A47</f>
        <v>300</v>
      </c>
      <c r="B87" s="4" t="s">
        <v>47</v>
      </c>
      <c r="C87" s="6" t="s">
        <v>135</v>
      </c>
      <c r="D87" s="6" t="s">
        <v>134</v>
      </c>
      <c r="E87" s="6" t="s">
        <v>15</v>
      </c>
      <c r="F87" s="30">
        <f>$F$78*$A87*100/F$41</f>
        <v>4.549948773282507E-2</v>
      </c>
      <c r="G87" s="30">
        <f>$F$77*$A87*100/G$41</f>
        <v>2.544631182795699E-2</v>
      </c>
      <c r="I87" s="4">
        <v>3</v>
      </c>
      <c r="J87" s="4">
        <v>300</v>
      </c>
      <c r="K87" s="50">
        <f t="shared" si="6"/>
        <v>1.3707083122742693E-2</v>
      </c>
      <c r="L87" s="50">
        <f t="shared" si="7"/>
        <v>6.7547850701710307E-2</v>
      </c>
      <c r="M87" s="50">
        <f t="shared" si="7"/>
        <v>2.544631182795699E-2</v>
      </c>
      <c r="N87" s="51">
        <f t="shared" si="8"/>
        <v>242.61537127254567</v>
      </c>
      <c r="O87" s="51">
        <f t="shared" si="9"/>
        <v>1195.5969574202725</v>
      </c>
      <c r="P87" s="51">
        <f t="shared" si="10"/>
        <v>450.39971935483874</v>
      </c>
      <c r="Q87" s="51">
        <f t="shared" si="11"/>
        <v>-5956.1349134232923</v>
      </c>
      <c r="R87" s="51">
        <f t="shared" si="11"/>
        <v>-1298.6521755143317</v>
      </c>
    </row>
    <row r="88" spans="1:19">
      <c r="I88" s="4">
        <v>4</v>
      </c>
      <c r="J88" s="4">
        <v>900</v>
      </c>
      <c r="K88" s="50">
        <f t="shared" si="6"/>
        <v>5.4828332490970771E-2</v>
      </c>
      <c r="L88" s="50">
        <f t="shared" si="7"/>
        <v>0.20264355210513094</v>
      </c>
      <c r="M88" s="50">
        <f t="shared" si="7"/>
        <v>7.6338935483870982E-2</v>
      </c>
      <c r="N88" s="51">
        <f t="shared" si="8"/>
        <v>970.46148509018269</v>
      </c>
      <c r="O88" s="51">
        <f t="shared" si="9"/>
        <v>3586.7908722608177</v>
      </c>
      <c r="P88" s="51">
        <f t="shared" si="10"/>
        <v>1351.1991580645163</v>
      </c>
      <c r="Q88" s="51">
        <f t="shared" si="11"/>
        <v>-16352.05866981647</v>
      </c>
      <c r="R88" s="51">
        <f t="shared" si="11"/>
        <v>-2379.6104560895847</v>
      </c>
    </row>
    <row r="89" spans="1:19">
      <c r="I89" s="4">
        <v>4</v>
      </c>
      <c r="J89" s="4">
        <v>300</v>
      </c>
      <c r="K89" s="50">
        <f t="shared" si="6"/>
        <v>1.8276110830323589E-2</v>
      </c>
      <c r="L89" s="50">
        <f t="shared" si="7"/>
        <v>6.7547850701710307E-2</v>
      </c>
      <c r="M89" s="50">
        <f t="shared" si="7"/>
        <v>2.544631182795699E-2</v>
      </c>
      <c r="N89" s="51">
        <f t="shared" si="8"/>
        <v>323.48716169672753</v>
      </c>
      <c r="O89" s="51">
        <f t="shared" si="9"/>
        <v>1195.5969574202725</v>
      </c>
      <c r="P89" s="51">
        <f t="shared" si="10"/>
        <v>450.39971935483874</v>
      </c>
      <c r="Q89" s="51">
        <f t="shared" si="11"/>
        <v>-5450.686223272156</v>
      </c>
      <c r="R89" s="51">
        <f t="shared" si="11"/>
        <v>-793.203485363195</v>
      </c>
    </row>
    <row r="90" spans="1:19">
      <c r="A90" s="63" t="s">
        <v>130</v>
      </c>
      <c r="B90" s="63"/>
      <c r="C90" s="63"/>
      <c r="D90" s="63"/>
      <c r="E90" s="63"/>
      <c r="F90" s="63"/>
      <c r="G90" s="63"/>
      <c r="I90" s="4">
        <v>5</v>
      </c>
      <c r="J90" s="4">
        <v>900</v>
      </c>
      <c r="K90" s="50">
        <f t="shared" si="6"/>
        <v>6.8535415613713457E-2</v>
      </c>
      <c r="L90" s="50">
        <f t="shared" si="7"/>
        <v>0.20264355210513094</v>
      </c>
      <c r="M90" s="50">
        <f t="shared" si="7"/>
        <v>7.6338935483870982E-2</v>
      </c>
      <c r="N90" s="51">
        <f t="shared" si="8"/>
        <v>1213.0768563627282</v>
      </c>
      <c r="O90" s="51">
        <f t="shared" si="9"/>
        <v>3586.7908722608177</v>
      </c>
      <c r="P90" s="51">
        <f t="shared" si="10"/>
        <v>1351.1991580645163</v>
      </c>
      <c r="Q90" s="51">
        <f t="shared" si="11"/>
        <v>-14835.712599363058</v>
      </c>
      <c r="R90" s="51">
        <f t="shared" si="11"/>
        <v>-863.26438563617523</v>
      </c>
    </row>
    <row r="91" spans="1:19">
      <c r="A91" s="12" t="s">
        <v>149</v>
      </c>
      <c r="B91" s="4"/>
      <c r="C91" s="6"/>
      <c r="D91" s="6"/>
      <c r="E91" s="6" t="s">
        <v>14</v>
      </c>
      <c r="F91" s="6" t="s">
        <v>88</v>
      </c>
      <c r="G91" s="6" t="s">
        <v>55</v>
      </c>
      <c r="I91" s="4">
        <v>5</v>
      </c>
      <c r="J91" s="4">
        <v>300</v>
      </c>
      <c r="K91" s="50">
        <f t="shared" si="6"/>
        <v>2.2845138537904486E-2</v>
      </c>
      <c r="L91" s="50">
        <f t="shared" si="7"/>
        <v>6.7547850701710307E-2</v>
      </c>
      <c r="M91" s="50">
        <f t="shared" si="7"/>
        <v>2.544631182795699E-2</v>
      </c>
      <c r="N91" s="51">
        <f t="shared" si="8"/>
        <v>404.35895212090941</v>
      </c>
      <c r="O91" s="51">
        <f t="shared" si="9"/>
        <v>1195.5969574202725</v>
      </c>
      <c r="P91" s="51">
        <f t="shared" si="10"/>
        <v>450.39971935483874</v>
      </c>
      <c r="Q91" s="51">
        <f t="shared" si="11"/>
        <v>-4945.2375331210187</v>
      </c>
      <c r="R91" s="51">
        <f t="shared" si="11"/>
        <v>-287.7547952120583</v>
      </c>
    </row>
    <row r="92" spans="1:19">
      <c r="A92" s="4">
        <f>A46</f>
        <v>900</v>
      </c>
      <c r="B92" s="4" t="s">
        <v>47</v>
      </c>
      <c r="C92" s="6" t="s">
        <v>144</v>
      </c>
      <c r="D92" s="6" t="s">
        <v>139</v>
      </c>
      <c r="E92" s="28">
        <f>$A$77*E84</f>
        <v>2037.9691186893838</v>
      </c>
      <c r="F92" s="28">
        <f>$A$77*F86</f>
        <v>2416.0227986130108</v>
      </c>
      <c r="G92" s="28">
        <f>$A$77*G86</f>
        <v>1351.1991580645163</v>
      </c>
      <c r="I92" s="4">
        <v>6</v>
      </c>
      <c r="J92" s="4">
        <v>900</v>
      </c>
      <c r="K92" s="50">
        <f t="shared" si="6"/>
        <v>8.2242498736456157E-2</v>
      </c>
      <c r="L92" s="50">
        <f t="shared" si="7"/>
        <v>0.20264355210513094</v>
      </c>
      <c r="M92" s="50">
        <f t="shared" si="7"/>
        <v>7.6338935483870982E-2</v>
      </c>
      <c r="N92" s="51">
        <f t="shared" si="8"/>
        <v>1455.6922276352741</v>
      </c>
      <c r="O92" s="51">
        <f t="shared" si="9"/>
        <v>3586.7908722608177</v>
      </c>
      <c r="P92" s="51">
        <f t="shared" si="10"/>
        <v>1351.1991580645163</v>
      </c>
      <c r="Q92" s="51">
        <f t="shared" si="11"/>
        <v>-13319.366528909648</v>
      </c>
      <c r="R92" s="51">
        <f t="shared" si="11"/>
        <v>653.08168481723635</v>
      </c>
    </row>
    <row r="93" spans="1:19">
      <c r="A93" s="4">
        <f>A47</f>
        <v>300</v>
      </c>
      <c r="B93" s="4" t="s">
        <v>47</v>
      </c>
      <c r="C93" s="6" t="s">
        <v>145</v>
      </c>
      <c r="D93" s="6" t="s">
        <v>141</v>
      </c>
      <c r="E93" s="28">
        <f>$A$77*E85</f>
        <v>679.32303956312785</v>
      </c>
      <c r="F93" s="28">
        <f>$A$77*F87</f>
        <v>805.3409328710037</v>
      </c>
      <c r="G93" s="28">
        <f>$A$77*G87</f>
        <v>450.39971935483874</v>
      </c>
      <c r="I93" s="4">
        <v>6</v>
      </c>
      <c r="J93" s="4">
        <v>300</v>
      </c>
      <c r="K93" s="50">
        <f t="shared" si="6"/>
        <v>2.7414166245485386E-2</v>
      </c>
      <c r="L93" s="50">
        <f t="shared" si="7"/>
        <v>6.7547850701710307E-2</v>
      </c>
      <c r="M93" s="50">
        <f t="shared" si="7"/>
        <v>2.544631182795699E-2</v>
      </c>
      <c r="N93" s="51">
        <f t="shared" si="8"/>
        <v>485.23074254509135</v>
      </c>
      <c r="O93" s="51">
        <f t="shared" si="9"/>
        <v>1195.5969574202725</v>
      </c>
      <c r="P93" s="51">
        <f t="shared" si="10"/>
        <v>450.39971935483874</v>
      </c>
      <c r="Q93" s="51">
        <f t="shared" si="11"/>
        <v>-4439.7888429698824</v>
      </c>
      <c r="R93" s="51">
        <f t="shared" si="11"/>
        <v>217.6938949390788</v>
      </c>
    </row>
    <row r="96" spans="1:19">
      <c r="A96" s="63" t="s">
        <v>66</v>
      </c>
      <c r="B96" s="63"/>
      <c r="C96" s="63"/>
      <c r="D96" s="63"/>
      <c r="E96" s="63"/>
      <c r="F96" s="63"/>
      <c r="G96" s="63"/>
    </row>
    <row r="97" spans="1:7">
      <c r="A97" s="12" t="s">
        <v>149</v>
      </c>
      <c r="B97" s="4"/>
      <c r="C97" s="6"/>
      <c r="D97" s="6"/>
      <c r="E97" s="6" t="s">
        <v>88</v>
      </c>
      <c r="F97" s="6" t="s">
        <v>55</v>
      </c>
      <c r="G97" s="6"/>
    </row>
    <row r="98" spans="1:7">
      <c r="A98" s="4">
        <f>A46</f>
        <v>900</v>
      </c>
      <c r="B98" s="4" t="s">
        <v>47</v>
      </c>
      <c r="C98" s="6" t="s">
        <v>145</v>
      </c>
      <c r="D98" s="6" t="s">
        <v>139</v>
      </c>
      <c r="E98" s="28">
        <f>($E92-F92)/(0.16)</f>
        <v>-2362.8354995226687</v>
      </c>
      <c r="F98" s="28">
        <f>($E92-G92)/(0.16)</f>
        <v>4292.312253905422</v>
      </c>
      <c r="G98" s="6"/>
    </row>
    <row r="99" spans="1:7">
      <c r="A99" s="4">
        <f>A47</f>
        <v>300</v>
      </c>
      <c r="B99" s="4" t="s">
        <v>47</v>
      </c>
      <c r="C99" s="6" t="s">
        <v>145</v>
      </c>
      <c r="D99" s="6" t="s">
        <v>141</v>
      </c>
      <c r="E99" s="28">
        <f>($E93-F93)/(0.16)</f>
        <v>-787.6118331742241</v>
      </c>
      <c r="F99" s="28">
        <f>($E93-G93)/(0.16)</f>
        <v>1430.770751301807</v>
      </c>
      <c r="G99" s="6"/>
    </row>
    <row r="103" spans="1:7">
      <c r="A103" s="63" t="s">
        <v>35</v>
      </c>
      <c r="B103" s="63"/>
      <c r="C103" s="63"/>
      <c r="D103" s="63"/>
      <c r="E103" s="63"/>
      <c r="F103" s="63"/>
      <c r="G103" s="63"/>
    </row>
    <row r="104" spans="1:7">
      <c r="A104" s="4"/>
      <c r="B104" s="4" t="s">
        <v>93</v>
      </c>
      <c r="C104" s="4" t="s">
        <v>94</v>
      </c>
      <c r="D104" s="4" t="s">
        <v>95</v>
      </c>
      <c r="E104" s="4"/>
      <c r="F104" s="4" t="s">
        <v>33</v>
      </c>
      <c r="G104" s="4" t="s">
        <v>34</v>
      </c>
    </row>
    <row r="105" spans="1:7">
      <c r="A105" s="4" t="s">
        <v>96</v>
      </c>
      <c r="B105" s="18">
        <f>E61/25</f>
        <v>4.8255999999999997</v>
      </c>
      <c r="C105" s="18">
        <f>F61/25</f>
        <v>13.332206912268354</v>
      </c>
      <c r="D105" s="18">
        <f>G61/25</f>
        <v>5.0224469160768459</v>
      </c>
      <c r="E105" s="4" t="s">
        <v>8</v>
      </c>
      <c r="F105" s="49">
        <v>25.872397958286093</v>
      </c>
      <c r="G105" s="18">
        <v>6.0762386049538488</v>
      </c>
    </row>
    <row r="106" spans="1:7">
      <c r="A106" s="4" t="s">
        <v>97</v>
      </c>
      <c r="B106" s="18">
        <f>E46*5</f>
        <v>10.703374574386604</v>
      </c>
      <c r="C106" s="18">
        <f>F46*5</f>
        <v>7.4705182379461901</v>
      </c>
      <c r="D106" s="18">
        <f>G46*5</f>
        <v>3.072013533886504</v>
      </c>
      <c r="E106" s="4" t="s">
        <v>97</v>
      </c>
      <c r="F106" s="49">
        <v>18.820439113972007</v>
      </c>
      <c r="G106" s="18">
        <v>4.4200571934181738</v>
      </c>
    </row>
    <row r="107" spans="1:7">
      <c r="A107" s="4" t="s">
        <v>98</v>
      </c>
      <c r="B107" s="46">
        <f>E67/70</f>
        <v>5.1581860476017594E-2</v>
      </c>
      <c r="C107" s="46">
        <f>F67/70</f>
        <v>11.159935862817905</v>
      </c>
      <c r="D107" s="46">
        <f>G67/70</f>
        <v>5.3452933081902048</v>
      </c>
      <c r="E107" s="4" t="s">
        <v>98</v>
      </c>
      <c r="F107" s="49">
        <v>26.764462978968812</v>
      </c>
      <c r="G107" s="46">
        <v>6.2857437279633439</v>
      </c>
    </row>
    <row r="108" spans="1:7">
      <c r="A108" s="4" t="s">
        <v>99</v>
      </c>
      <c r="B108" s="30">
        <f>E84*100</f>
        <v>11.513949823103863</v>
      </c>
      <c r="C108" s="30">
        <f>F86*100</f>
        <v>13.649846319847519</v>
      </c>
      <c r="D108" s="30">
        <f>G86*100</f>
        <v>7.633893548387098</v>
      </c>
      <c r="E108" s="4" t="s">
        <v>99</v>
      </c>
      <c r="F108" s="49">
        <v>24.820503155331835</v>
      </c>
      <c r="G108" s="30">
        <v>5.8291968030935788</v>
      </c>
    </row>
  </sheetData>
  <sheetCalcPr fullCalcOnLoad="1"/>
  <mergeCells count="18">
    <mergeCell ref="A103:G103"/>
    <mergeCell ref="I82:M82"/>
    <mergeCell ref="A65:G65"/>
    <mergeCell ref="A82:G82"/>
    <mergeCell ref="A90:G90"/>
    <mergeCell ref="C80:E80"/>
    <mergeCell ref="A96:G96"/>
    <mergeCell ref="A71:G71"/>
    <mergeCell ref="A44:G44"/>
    <mergeCell ref="A59:G59"/>
    <mergeCell ref="J44:K44"/>
    <mergeCell ref="H3:I3"/>
    <mergeCell ref="A7:I7"/>
    <mergeCell ref="A19:I19"/>
    <mergeCell ref="A28:I28"/>
    <mergeCell ref="A35:D35"/>
    <mergeCell ref="A40:B40"/>
    <mergeCell ref="H35:I35"/>
  </mergeCells>
  <phoneticPr fontId="5" type="noConversion"/>
  <pageMargins left="0.75" right="0.75" top="1" bottom="1" header="0.5" footer="0.5"/>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
  <sheetViews>
    <sheetView topLeftCell="B1" zoomScale="75" workbookViewId="0">
      <selection activeCell="Q52" sqref="Q52"/>
    </sheetView>
  </sheetViews>
  <sheetFormatPr baseColWidth="10" defaultRowHeight="13"/>
  <sheetData/>
  <sheetCalcPr fullCalcOnLoad="1"/>
  <phoneticPr fontId="5" type="noConversion"/>
  <pageMargins left="0.75" right="0.75" top="1" bottom="1" header="0.5" footer="0.5"/>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Felix Creutzig</dc:creator>
  <cp:lastModifiedBy>Felix Creutzig</cp:lastModifiedBy>
  <dcterms:created xsi:type="dcterms:W3CDTF">2009-03-02T02:45:47Z</dcterms:created>
  <dcterms:modified xsi:type="dcterms:W3CDTF">2009-11-02T14:44:43Z</dcterms:modified>
</cp:coreProperties>
</file>